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ropbox\Pony Club\2021 CT and JE\"/>
    </mc:Choice>
  </mc:AlternateContent>
  <xr:revisionPtr revIDLastSave="0" documentId="13_ncr:1_{1E12F62A-1A3F-424D-9BEF-1EBF6EA00DD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T -Scoring" sheetId="6" r:id="rId1"/>
    <sheet name="JE - Scoring" sheetId="7" r:id="rId2"/>
  </sheets>
  <definedNames>
    <definedName name="_xlnm.Print_Area" localSheetId="0">'CT -Scoring'!$A$34:$Q$40</definedName>
    <definedName name="_xlnm.Print_Area" localSheetId="1">'JE - Scoring'!$B$3:$T$26</definedName>
    <definedName name="_xlnm.Print_Titles" localSheetId="0">'CT -Scoring'!$3:$4</definedName>
    <definedName name="_xlnm.Print_Titles" localSheetId="1">'JE - Scoring'!$3:$5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6" l="1"/>
  <c r="L23" i="6" s="1"/>
  <c r="K26" i="6"/>
  <c r="K24" i="6"/>
  <c r="L24" i="6" s="1"/>
  <c r="F30" i="6"/>
  <c r="F25" i="6"/>
  <c r="F24" i="6"/>
  <c r="F26" i="6"/>
  <c r="F21" i="6"/>
  <c r="F23" i="6"/>
  <c r="F28" i="6"/>
  <c r="F20" i="6"/>
  <c r="F19" i="6"/>
  <c r="L35" i="6"/>
  <c r="L39" i="6"/>
  <c r="L38" i="6"/>
  <c r="L37" i="6"/>
  <c r="L40" i="6"/>
  <c r="L36" i="6"/>
  <c r="L33" i="6"/>
  <c r="L32" i="6"/>
  <c r="L30" i="6"/>
  <c r="L28" i="6"/>
  <c r="L25" i="6"/>
  <c r="L26" i="6"/>
  <c r="K42" i="6"/>
  <c r="L42" i="6" s="1"/>
  <c r="Q42" i="6" s="1"/>
  <c r="K43" i="6"/>
  <c r="K44" i="6"/>
  <c r="L44" i="6" s="1"/>
  <c r="Q44" i="6" s="1"/>
  <c r="L43" i="6"/>
  <c r="S30" i="6"/>
  <c r="H30" i="6"/>
  <c r="I30" i="6" s="1"/>
  <c r="S11" i="7"/>
  <c r="S10" i="7"/>
  <c r="S9" i="7"/>
  <c r="S8" i="7"/>
  <c r="S7" i="7"/>
  <c r="S13" i="7"/>
  <c r="F42" i="6"/>
  <c r="F44" i="6"/>
  <c r="H44" i="6" s="1"/>
  <c r="I44" i="6" s="1"/>
  <c r="F43" i="6"/>
  <c r="F17" i="6"/>
  <c r="H17" i="6" s="1"/>
  <c r="I17" i="6" s="1"/>
  <c r="F15" i="6"/>
  <c r="F16" i="6"/>
  <c r="F13" i="6"/>
  <c r="F12" i="6"/>
  <c r="F11" i="6"/>
  <c r="L22" i="7"/>
  <c r="L15" i="7"/>
  <c r="L21" i="7"/>
  <c r="L25" i="7"/>
  <c r="L19" i="7"/>
  <c r="L17" i="7"/>
  <c r="L23" i="7"/>
  <c r="L14" i="7"/>
  <c r="K19" i="7"/>
  <c r="K25" i="7"/>
  <c r="K21" i="7"/>
  <c r="K23" i="7"/>
  <c r="K22" i="7"/>
  <c r="K17" i="7"/>
  <c r="L13" i="7"/>
  <c r="K15" i="7"/>
  <c r="K13" i="7"/>
  <c r="K14" i="7"/>
  <c r="F35" i="6"/>
  <c r="F40" i="6"/>
  <c r="F39" i="6"/>
  <c r="H39" i="6" s="1"/>
  <c r="I39" i="6" s="1"/>
  <c r="O39" i="6" s="1"/>
  <c r="F37" i="6"/>
  <c r="F38" i="6"/>
  <c r="H38" i="6" s="1"/>
  <c r="I38" i="6" s="1"/>
  <c r="K11" i="7"/>
  <c r="K9" i="7"/>
  <c r="K8" i="7"/>
  <c r="F51" i="6"/>
  <c r="H51" i="6" s="1"/>
  <c r="I51" i="6" s="1"/>
  <c r="F46" i="6"/>
  <c r="F50" i="6"/>
  <c r="F52" i="6"/>
  <c r="F47" i="6"/>
  <c r="H47" i="6" s="1"/>
  <c r="I47" i="6" s="1"/>
  <c r="F36" i="6"/>
  <c r="H36" i="6" s="1"/>
  <c r="I36" i="6" s="1"/>
  <c r="S35" i="6"/>
  <c r="Q35" i="6"/>
  <c r="H35" i="6"/>
  <c r="I35" i="6" s="1"/>
  <c r="S39" i="6"/>
  <c r="Q39" i="6"/>
  <c r="S38" i="6"/>
  <c r="Q38" i="6"/>
  <c r="S37" i="6"/>
  <c r="Q37" i="6"/>
  <c r="H37" i="6"/>
  <c r="I37" i="6" s="1"/>
  <c r="S40" i="6"/>
  <c r="Q40" i="6"/>
  <c r="H40" i="6"/>
  <c r="I40" i="6" s="1"/>
  <c r="S36" i="6"/>
  <c r="Q36" i="6"/>
  <c r="G25" i="7"/>
  <c r="F25" i="7"/>
  <c r="G15" i="7"/>
  <c r="H15" i="7" s="1"/>
  <c r="F15" i="7"/>
  <c r="G14" i="7"/>
  <c r="F14" i="7"/>
  <c r="G13" i="7"/>
  <c r="F13" i="7"/>
  <c r="F11" i="7"/>
  <c r="F9" i="7"/>
  <c r="F10" i="7"/>
  <c r="F8" i="7"/>
  <c r="H10" i="7"/>
  <c r="T10" i="7" s="1"/>
  <c r="J10" i="7"/>
  <c r="Q10" i="7" s="1"/>
  <c r="M10" i="7"/>
  <c r="O10" i="7"/>
  <c r="H11" i="7"/>
  <c r="J11" i="7"/>
  <c r="M11" i="7"/>
  <c r="O11" i="7"/>
  <c r="Q11" i="7"/>
  <c r="F7" i="7"/>
  <c r="G21" i="7"/>
  <c r="F21" i="7"/>
  <c r="G22" i="7"/>
  <c r="F22" i="7"/>
  <c r="G19" i="7"/>
  <c r="F19" i="7"/>
  <c r="G17" i="7"/>
  <c r="F17" i="7"/>
  <c r="F53" i="6"/>
  <c r="F48" i="6"/>
  <c r="H48" i="6" s="1"/>
  <c r="I48" i="6" s="1"/>
  <c r="F49" i="6"/>
  <c r="H49" i="6" s="1"/>
  <c r="I49" i="6" s="1"/>
  <c r="F33" i="6"/>
  <c r="H33" i="6" s="1"/>
  <c r="I33" i="6" s="1"/>
  <c r="F32" i="6"/>
  <c r="F7" i="6"/>
  <c r="F9" i="6"/>
  <c r="H9" i="6" s="1"/>
  <c r="I9" i="6" s="1"/>
  <c r="F6" i="6"/>
  <c r="F8" i="6"/>
  <c r="H54" i="6"/>
  <c r="I54" i="6" s="1"/>
  <c r="L54" i="6"/>
  <c r="Q54" i="6"/>
  <c r="S54" i="6"/>
  <c r="H50" i="6"/>
  <c r="I50" i="6" s="1"/>
  <c r="L50" i="6"/>
  <c r="Q50" i="6"/>
  <c r="S50" i="6"/>
  <c r="L51" i="6"/>
  <c r="Q51" i="6"/>
  <c r="S51" i="6"/>
  <c r="H46" i="6"/>
  <c r="I46" i="6" s="1"/>
  <c r="L46" i="6"/>
  <c r="Q46" i="6"/>
  <c r="S46" i="6"/>
  <c r="L47" i="6"/>
  <c r="Q47" i="6"/>
  <c r="S47" i="6"/>
  <c r="H52" i="6"/>
  <c r="I52" i="6" s="1"/>
  <c r="L52" i="6"/>
  <c r="Q52" i="6"/>
  <c r="S52" i="6"/>
  <c r="S53" i="6"/>
  <c r="Q53" i="6"/>
  <c r="L53" i="6"/>
  <c r="H53" i="6"/>
  <c r="I53" i="6" s="1"/>
  <c r="S48" i="6"/>
  <c r="Q48" i="6"/>
  <c r="L48" i="6"/>
  <c r="S49" i="6"/>
  <c r="Q49" i="6"/>
  <c r="L49" i="6"/>
  <c r="Q24" i="6"/>
  <c r="Q26" i="6"/>
  <c r="Q23" i="6"/>
  <c r="Q25" i="6"/>
  <c r="L17" i="6"/>
  <c r="Q17" i="6"/>
  <c r="S17" i="6"/>
  <c r="Q5" i="6"/>
  <c r="Q8" i="6"/>
  <c r="Q9" i="6"/>
  <c r="Q10" i="6"/>
  <c r="H6" i="6"/>
  <c r="I6" i="6" s="1"/>
  <c r="L6" i="6"/>
  <c r="Q6" i="6" s="1"/>
  <c r="S6" i="6"/>
  <c r="L9" i="6"/>
  <c r="S9" i="6"/>
  <c r="H7" i="6"/>
  <c r="I7" i="6" s="1"/>
  <c r="L7" i="6"/>
  <c r="Q7" i="6" s="1"/>
  <c r="S7" i="6"/>
  <c r="U1" i="6"/>
  <c r="Q33" i="6"/>
  <c r="L19" i="6"/>
  <c r="Q19" i="6" s="1"/>
  <c r="L21" i="6"/>
  <c r="Q21" i="6" s="1"/>
  <c r="K16" i="6"/>
  <c r="L16" i="6" s="1"/>
  <c r="Q16" i="6" s="1"/>
  <c r="K12" i="6"/>
  <c r="L12" i="6" s="1"/>
  <c r="Q12" i="6" s="1"/>
  <c r="K11" i="6"/>
  <c r="L11" i="6" s="1"/>
  <c r="Q11" i="6" s="1"/>
  <c r="O22" i="7"/>
  <c r="M22" i="7"/>
  <c r="J22" i="7"/>
  <c r="H22" i="7"/>
  <c r="O23" i="7"/>
  <c r="M23" i="7"/>
  <c r="J23" i="7"/>
  <c r="H23" i="7"/>
  <c r="O21" i="7"/>
  <c r="M21" i="7"/>
  <c r="J21" i="7"/>
  <c r="H21" i="7"/>
  <c r="O14" i="7"/>
  <c r="M14" i="7"/>
  <c r="J14" i="7"/>
  <c r="H14" i="7"/>
  <c r="O13" i="7"/>
  <c r="M13" i="7"/>
  <c r="J13" i="7"/>
  <c r="H13" i="7"/>
  <c r="O15" i="7"/>
  <c r="M15" i="7"/>
  <c r="J15" i="7"/>
  <c r="L15" i="6"/>
  <c r="Q15" i="6" s="1"/>
  <c r="L20" i="6"/>
  <c r="Q20" i="6" s="1"/>
  <c r="L13" i="6"/>
  <c r="Q13" i="6" s="1"/>
  <c r="L8" i="6"/>
  <c r="H26" i="6"/>
  <c r="I26" i="6" s="1"/>
  <c r="S11" i="6"/>
  <c r="H11" i="6"/>
  <c r="I11" i="6" s="1"/>
  <c r="S13" i="6"/>
  <c r="H13" i="6"/>
  <c r="I13" i="6" s="1"/>
  <c r="S12" i="6"/>
  <c r="H12" i="6"/>
  <c r="I12" i="6" s="1"/>
  <c r="S19" i="6"/>
  <c r="H19" i="6"/>
  <c r="I19" i="6" s="1"/>
  <c r="S26" i="6"/>
  <c r="S8" i="6"/>
  <c r="H8" i="6"/>
  <c r="I8" i="6" s="1"/>
  <c r="O7" i="7"/>
  <c r="M7" i="7"/>
  <c r="J7" i="7"/>
  <c r="S20" i="6"/>
  <c r="H20" i="6"/>
  <c r="I20" i="6" s="1"/>
  <c r="S21" i="6"/>
  <c r="H21" i="6"/>
  <c r="I21" i="6" s="1"/>
  <c r="S15" i="6"/>
  <c r="H15" i="6"/>
  <c r="I15" i="6" s="1"/>
  <c r="H25" i="6"/>
  <c r="I25" i="6" s="1"/>
  <c r="S25" i="6"/>
  <c r="O25" i="7"/>
  <c r="M25" i="7"/>
  <c r="J25" i="7"/>
  <c r="H25" i="7"/>
  <c r="O26" i="7"/>
  <c r="M26" i="7"/>
  <c r="J26" i="7"/>
  <c r="H26" i="7"/>
  <c r="O18" i="7"/>
  <c r="M18" i="7"/>
  <c r="J18" i="7"/>
  <c r="H18" i="7"/>
  <c r="O17" i="7"/>
  <c r="M17" i="7"/>
  <c r="J17" i="7"/>
  <c r="H17" i="7"/>
  <c r="O19" i="7"/>
  <c r="M19" i="7"/>
  <c r="J19" i="7"/>
  <c r="H19" i="7"/>
  <c r="O8" i="7"/>
  <c r="M8" i="7"/>
  <c r="J8" i="7"/>
  <c r="H8" i="7"/>
  <c r="H7" i="7"/>
  <c r="O9" i="7"/>
  <c r="M9" i="7"/>
  <c r="J9" i="7"/>
  <c r="H9" i="7"/>
  <c r="Q3" i="7"/>
  <c r="H43" i="6"/>
  <c r="I43" i="6" s="1"/>
  <c r="H42" i="6"/>
  <c r="I42" i="6" s="1"/>
  <c r="H24" i="6"/>
  <c r="I24" i="6" s="1"/>
  <c r="H23" i="6"/>
  <c r="I23" i="6" s="1"/>
  <c r="H16" i="6"/>
  <c r="I16" i="6" s="1"/>
  <c r="H32" i="6"/>
  <c r="I32" i="6" s="1"/>
  <c r="S44" i="6"/>
  <c r="S43" i="6"/>
  <c r="Q43" i="6"/>
  <c r="S42" i="6"/>
  <c r="S32" i="6"/>
  <c r="S33" i="6"/>
  <c r="S28" i="6"/>
  <c r="S24" i="6"/>
  <c r="S23" i="6"/>
  <c r="S16" i="6"/>
  <c r="O3" i="6"/>
  <c r="O52" i="6" l="1"/>
  <c r="O35" i="6"/>
  <c r="O38" i="6"/>
  <c r="O37" i="6"/>
  <c r="O36" i="6"/>
  <c r="O40" i="6"/>
  <c r="O30" i="6"/>
  <c r="O51" i="6"/>
  <c r="O17" i="6"/>
  <c r="T11" i="7"/>
  <c r="O50" i="6"/>
  <c r="O46" i="6"/>
  <c r="O54" i="6"/>
  <c r="O49" i="6"/>
  <c r="O53" i="6"/>
  <c r="T9" i="7"/>
  <c r="T21" i="7"/>
  <c r="S23" i="7"/>
  <c r="Q21" i="7"/>
  <c r="O47" i="6"/>
  <c r="O48" i="6"/>
  <c r="H28" i="6"/>
  <c r="I28" i="6" s="1"/>
  <c r="O28" i="6" s="1"/>
  <c r="O7" i="6"/>
  <c r="O9" i="6"/>
  <c r="O6" i="6"/>
  <c r="Q8" i="7"/>
  <c r="Q18" i="7"/>
  <c r="Q26" i="7"/>
  <c r="Q22" i="7"/>
  <c r="S22" i="7"/>
  <c r="Q9" i="7"/>
  <c r="T8" i="7"/>
  <c r="T19" i="7"/>
  <c r="T17" i="7"/>
  <c r="T18" i="7"/>
  <c r="T26" i="7"/>
  <c r="T25" i="7"/>
  <c r="Q7" i="7"/>
  <c r="Q28" i="6"/>
  <c r="S21" i="7"/>
  <c r="Q19" i="7"/>
  <c r="Q17" i="7"/>
  <c r="Q25" i="7"/>
  <c r="T23" i="7"/>
  <c r="T15" i="7"/>
  <c r="T13" i="7"/>
  <c r="T14" i="7"/>
  <c r="Q23" i="7"/>
  <c r="Q15" i="7"/>
  <c r="Q14" i="7"/>
  <c r="T22" i="7"/>
  <c r="Q13" i="7"/>
  <c r="S15" i="7"/>
  <c r="S14" i="7"/>
  <c r="S19" i="7"/>
  <c r="S18" i="7"/>
  <c r="S17" i="7"/>
  <c r="O33" i="6"/>
  <c r="O24" i="6"/>
  <c r="O26" i="6"/>
  <c r="O23" i="6"/>
  <c r="O19" i="6"/>
  <c r="O13" i="6"/>
  <c r="O11" i="6"/>
  <c r="O12" i="6"/>
  <c r="O8" i="6"/>
  <c r="T7" i="7"/>
  <c r="O15" i="6"/>
  <c r="O20" i="6"/>
  <c r="O21" i="6"/>
  <c r="O16" i="6"/>
  <c r="O25" i="6"/>
  <c r="O43" i="6"/>
  <c r="O42" i="6"/>
  <c r="O44" i="6"/>
  <c r="O32" i="6"/>
</calcChain>
</file>

<file path=xl/sharedStrings.xml><?xml version="1.0" encoding="utf-8"?>
<sst xmlns="http://schemas.openxmlformats.org/spreadsheetml/2006/main" count="243" uniqueCount="160">
  <si>
    <t>Horse</t>
  </si>
  <si>
    <t>CL Judge</t>
  </si>
  <si>
    <t>SL Judge</t>
  </si>
  <si>
    <t>Points</t>
  </si>
  <si>
    <t>Event Placing</t>
  </si>
  <si>
    <t>Club</t>
  </si>
  <si>
    <t>Mudgeeraba</t>
  </si>
  <si>
    <t>Nerang</t>
  </si>
  <si>
    <t>Southport</t>
  </si>
  <si>
    <t>Tallebudgera</t>
  </si>
  <si>
    <t>DRESSAGE</t>
  </si>
  <si>
    <t>SHOW JUMPING</t>
  </si>
  <si>
    <t>State Qualify</t>
  </si>
  <si>
    <t>Back No.</t>
  </si>
  <si>
    <t>Name</t>
  </si>
  <si>
    <t>Card No</t>
  </si>
  <si>
    <t>Jump Fault</t>
  </si>
  <si>
    <t>Time Fault</t>
  </si>
  <si>
    <t>Total Fault</t>
  </si>
  <si>
    <t>Jump Time</t>
  </si>
  <si>
    <t>Total Score</t>
  </si>
  <si>
    <t>Place</t>
  </si>
  <si>
    <t>Team Points</t>
  </si>
  <si>
    <t>Max Dress Test</t>
  </si>
  <si>
    <t>Tamborine</t>
  </si>
  <si>
    <t>E</t>
  </si>
  <si>
    <t>Penalty</t>
  </si>
  <si>
    <t>Max Time</t>
  </si>
  <si>
    <t>ROUND 1</t>
  </si>
  <si>
    <t>Average Score Round 1</t>
  </si>
  <si>
    <t>Rnd 1 Place</t>
  </si>
  <si>
    <t>ROUND 2</t>
  </si>
  <si>
    <t>Average Score Round 2</t>
  </si>
  <si>
    <t>Event Points</t>
  </si>
  <si>
    <t>C/ship Average countback</t>
  </si>
  <si>
    <t>Rnd 1 no task</t>
  </si>
  <si>
    <t>Rnd 2 &amp; task</t>
  </si>
  <si>
    <t>Back</t>
  </si>
  <si>
    <t>RIDER</t>
  </si>
  <si>
    <t>HORSE</t>
  </si>
  <si>
    <t>CLUB</t>
  </si>
  <si>
    <t>Judge 1</t>
  </si>
  <si>
    <t>Judge 2</t>
  </si>
  <si>
    <t>CLASS 1</t>
  </si>
  <si>
    <t>10 &amp; Under  -  50cm</t>
  </si>
  <si>
    <t>CLASS 2</t>
  </si>
  <si>
    <t>11 &amp; Under 13  -  60cm</t>
  </si>
  <si>
    <t>CLASS 7</t>
  </si>
  <si>
    <t>Seniors</t>
  </si>
  <si>
    <t>COMBINED CLASS</t>
  </si>
  <si>
    <t>Queens Park Hercules</t>
  </si>
  <si>
    <t>Fliss Floss</t>
  </si>
  <si>
    <t>Paris</t>
  </si>
  <si>
    <t>Waterford</t>
  </si>
  <si>
    <t>Irish Kerr</t>
  </si>
  <si>
    <t>Tihana North</t>
  </si>
  <si>
    <t>CLASS 3</t>
  </si>
  <si>
    <t>13 &amp; Under 15  -  70cm</t>
  </si>
  <si>
    <t>CLASS 4/5</t>
  </si>
  <si>
    <r>
      <t xml:space="preserve">15 &amp; Under 17  -  80cm 17  </t>
    </r>
    <r>
      <rPr>
        <b/>
        <u/>
        <sz val="14"/>
        <rFont val="Arial"/>
        <family val="2"/>
      </rPr>
      <t>21 - 80cm</t>
    </r>
  </si>
  <si>
    <t>Class CT16 Prep A &amp;50cm</t>
  </si>
  <si>
    <t>Class CT1 10 years&amp;U Test 1A &amp; 50cm</t>
  </si>
  <si>
    <t>Class CT2 12&amp;U Test 1C &amp; 60cm</t>
  </si>
  <si>
    <t>Katelyn Didlick</t>
  </si>
  <si>
    <t>Casuarina Ridge River</t>
  </si>
  <si>
    <t>Sienna Tombs</t>
  </si>
  <si>
    <t>Pegasus Park Buzz Lightyear</t>
  </si>
  <si>
    <t>Bella Malady</t>
  </si>
  <si>
    <t>Keiron Gossip Girl</t>
  </si>
  <si>
    <t>Sierra Quirke</t>
  </si>
  <si>
    <t>Annaheras April</t>
  </si>
  <si>
    <t>Jimboomba</t>
  </si>
  <si>
    <t>Alicia Dyke</t>
  </si>
  <si>
    <t>Boston'S Pride</t>
  </si>
  <si>
    <t>Jazelle Veitch</t>
  </si>
  <si>
    <t>Hope Springs Hunter</t>
  </si>
  <si>
    <t>Helena Costin</t>
  </si>
  <si>
    <t>Belcam Agulera</t>
  </si>
  <si>
    <t>Gandalf</t>
  </si>
  <si>
    <t>Lotus Locke</t>
  </si>
  <si>
    <t>All that Ember</t>
  </si>
  <si>
    <t>Class CT3 A1 Test 1C &amp; 60cm</t>
  </si>
  <si>
    <t>Class CT4 A2 Test 1C &amp; 80cm</t>
  </si>
  <si>
    <t>Zoe Perry</t>
  </si>
  <si>
    <t>Farleigh Sandringham</t>
  </si>
  <si>
    <t>Ella Schultz</t>
  </si>
  <si>
    <t>Duell Esscort</t>
  </si>
  <si>
    <t>Drinks On Deco</t>
  </si>
  <si>
    <t>Class CT5 A3 Test 1C &amp;95cm</t>
  </si>
  <si>
    <t>Alaisdair West</t>
  </si>
  <si>
    <t>Gods N Warriors</t>
  </si>
  <si>
    <t>Mitchell West</t>
  </si>
  <si>
    <t>Tenado</t>
  </si>
  <si>
    <t>Shani Massignani</t>
  </si>
  <si>
    <t>Esscort Dominator</t>
  </si>
  <si>
    <t>Gossip Girl</t>
  </si>
  <si>
    <t>Class CT9 B3 Test 2C 95cm</t>
  </si>
  <si>
    <t>Ashlee Lowe</t>
  </si>
  <si>
    <t>Montezuma</t>
  </si>
  <si>
    <t>Kaitlin Bellamy</t>
  </si>
  <si>
    <t>Danny</t>
  </si>
  <si>
    <t>Phillipa Bennett-Bryant</t>
  </si>
  <si>
    <t>Indy</t>
  </si>
  <si>
    <t>Class CT17 Seniors Test 1C &amp; 60cm</t>
  </si>
  <si>
    <t>Jillian Bird</t>
  </si>
  <si>
    <t>Sonic Hill</t>
  </si>
  <si>
    <t>Louisa Massignani</t>
  </si>
  <si>
    <t>Buttons</t>
  </si>
  <si>
    <t>Ping  Jaa</t>
  </si>
  <si>
    <t>Vintage Sun</t>
  </si>
  <si>
    <t>Class CT18 Assisted Prep A &amp; Poles</t>
  </si>
  <si>
    <t>Bella Kaplan</t>
  </si>
  <si>
    <t>Primrose Park Play with Paint</t>
  </si>
  <si>
    <t>Emily Flynn</t>
  </si>
  <si>
    <t>Bordershow I Spy</t>
  </si>
  <si>
    <t>Lucinda Bennett-Bryant</t>
  </si>
  <si>
    <t>Rocket</t>
  </si>
  <si>
    <t>Raven Carter</t>
  </si>
  <si>
    <t>Thornbird</t>
  </si>
  <si>
    <t>Vera Morris</t>
  </si>
  <si>
    <t>Coco</t>
  </si>
  <si>
    <t>Paige Blesic</t>
  </si>
  <si>
    <t>Centre Stage Bazinga</t>
  </si>
  <si>
    <t>Alaska Carter</t>
  </si>
  <si>
    <t>Diamond in the Rough</t>
  </si>
  <si>
    <t>Ryan Lornie</t>
  </si>
  <si>
    <t>Moonshine</t>
  </si>
  <si>
    <t>James Lornie</t>
  </si>
  <si>
    <t>Gypsy</t>
  </si>
  <si>
    <t>Fantasy Downs Chucklebud</t>
  </si>
  <si>
    <t>Isabella Baker</t>
  </si>
  <si>
    <t>ASH WITH FLASH</t>
  </si>
  <si>
    <t>Dalby</t>
  </si>
  <si>
    <t>Alyssa Baker</t>
  </si>
  <si>
    <t>Fame N Torture</t>
  </si>
  <si>
    <r>
      <t>Sophie Kreuger</t>
    </r>
    <r>
      <rPr>
        <b/>
        <sz val="10"/>
        <rFont val="Arial"/>
        <family val="2"/>
      </rPr>
      <t xml:space="preserve"> </t>
    </r>
  </si>
  <si>
    <t>Racheal Milne</t>
  </si>
  <si>
    <t>SC I'm n Awesome Mr</t>
  </si>
  <si>
    <t>Peter Malady</t>
  </si>
  <si>
    <t>Satchmo</t>
  </si>
  <si>
    <t>#</t>
  </si>
  <si>
    <t>Class CT15 Unofficial Any Age Test 1A &amp; Poles</t>
  </si>
  <si>
    <t>Dannan Isherwood</t>
  </si>
  <si>
    <t>Glengallen Debutante</t>
  </si>
  <si>
    <t>Stacy Tann</t>
  </si>
  <si>
    <t>Valyrian Pride</t>
  </si>
  <si>
    <t>Laura Thurston</t>
  </si>
  <si>
    <t>Super Trooper</t>
  </si>
  <si>
    <t>Beaudesert</t>
  </si>
  <si>
    <t>Penelope Cole</t>
  </si>
  <si>
    <t>Flynders Lane</t>
  </si>
  <si>
    <t xml:space="preserve">Kelly Tombs </t>
  </si>
  <si>
    <t>Andelain Spartacus</t>
  </si>
  <si>
    <t xml:space="preserve">Nerang </t>
  </si>
  <si>
    <t>Aggregate</t>
  </si>
  <si>
    <t>No Count back in rounds - place equally.  To tie break overall champion split using average percentage over the rounds.  If still equal go back to highest percentage in the round with the task</t>
  </si>
  <si>
    <t>CT13 C3 Test 3C &amp; 95cm</t>
  </si>
  <si>
    <t>Isabel Kitto</t>
  </si>
  <si>
    <t>Farleigh Sandringham (Duke)</t>
  </si>
  <si>
    <t xml:space="preserve">Sophie Krueger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</si>
</sst>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/d/yy\ h:mm\ AM/PM"/>
    <numFmt numFmtId="166" formatCode="d/m/yy\ h:mm\ AM/PM"/>
  </numFmts>
  <fonts count="46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 Narrow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name val="Arial Narrow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color theme="8" tint="-0.249977111117893"/>
      <name val="Arial"/>
      <family val="2"/>
    </font>
    <font>
      <sz val="12"/>
      <color indexed="12"/>
      <name val="Arial"/>
      <family val="2"/>
    </font>
    <font>
      <b/>
      <sz val="12"/>
      <color theme="8" tint="-0.249977111117893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6"/>
      <color indexed="10"/>
      <name val="Arial Narrow"/>
      <family val="2"/>
    </font>
    <font>
      <b/>
      <sz val="18"/>
      <name val="Arial"/>
      <family val="2"/>
    </font>
    <font>
      <b/>
      <sz val="10"/>
      <name val="Calibri"/>
      <family val="2"/>
      <scheme val="minor"/>
    </font>
    <font>
      <sz val="12"/>
      <color rgb="FFFF0000"/>
      <name val="Arial Narrow"/>
      <family val="2"/>
    </font>
    <font>
      <b/>
      <u/>
      <sz val="14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DF7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4CD9FA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3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7" applyNumberFormat="0" applyAlignment="0" applyProtection="0"/>
    <xf numFmtId="0" fontId="20" fillId="25" borderId="8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7" applyNumberFormat="0" applyAlignment="0" applyProtection="0"/>
    <xf numFmtId="0" fontId="27" fillId="0" borderId="12" applyNumberFormat="0" applyFill="0" applyAlignment="0" applyProtection="0"/>
    <xf numFmtId="0" fontId="28" fillId="26" borderId="0" applyNumberFormat="0" applyBorder="0" applyAlignment="0" applyProtection="0"/>
    <xf numFmtId="0" fontId="6" fillId="27" borderId="13" applyNumberFormat="0" applyFont="0" applyAlignment="0" applyProtection="0"/>
    <xf numFmtId="0" fontId="29" fillId="24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6" fillId="0" borderId="0"/>
    <xf numFmtId="9" fontId="40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10" fillId="0" borderId="4" xfId="0" applyNumberFormat="1" applyFont="1" applyBorder="1" applyAlignment="1">
      <alignment horizontal="center" vertical="center"/>
    </xf>
    <xf numFmtId="10" fontId="10" fillId="5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37" fillId="29" borderId="3" xfId="0" applyNumberFormat="1" applyFont="1" applyFill="1" applyBorder="1" applyAlignment="1">
      <alignment horizontal="center" vertical="center"/>
    </xf>
    <xf numFmtId="10" fontId="10" fillId="5" borderId="3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9" fillId="5" borderId="4" xfId="0" applyNumberFormat="1" applyFont="1" applyFill="1" applyBorder="1" applyAlignment="1">
      <alignment horizontal="center" vertical="center"/>
    </xf>
    <xf numFmtId="2" fontId="37" fillId="29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28" borderId="4" xfId="0" applyFont="1" applyFill="1" applyBorder="1" applyAlignment="1">
      <alignment horizontal="center" vertical="center"/>
    </xf>
    <xf numFmtId="0" fontId="36" fillId="28" borderId="4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28" borderId="2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/>
    </xf>
    <xf numFmtId="0" fontId="1" fillId="28" borderId="1" xfId="0" applyFont="1" applyFill="1" applyBorder="1" applyAlignment="1">
      <alignment horizontal="center" vertical="center"/>
    </xf>
    <xf numFmtId="0" fontId="2" fillId="4" borderId="4" xfId="0" quotePrefix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3" fillId="0" borderId="0" xfId="0" quotePrefix="1" applyFont="1" applyFill="1" applyAlignment="1">
      <alignment horizontal="center"/>
    </xf>
    <xf numFmtId="0" fontId="3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4" fontId="10" fillId="0" borderId="4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12" fillId="28" borderId="4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/>
    </xf>
    <xf numFmtId="0" fontId="14" fillId="2" borderId="17" xfId="1" applyFont="1" applyFill="1" applyBorder="1" applyAlignment="1">
      <alignment horizontal="left"/>
    </xf>
    <xf numFmtId="0" fontId="14" fillId="2" borderId="19" xfId="1" applyFont="1" applyFill="1" applyBorder="1" applyAlignment="1">
      <alignment horizontal="center"/>
    </xf>
    <xf numFmtId="0" fontId="14" fillId="2" borderId="18" xfId="1" applyFont="1" applyFill="1" applyBorder="1" applyAlignment="1">
      <alignment horizontal="left"/>
    </xf>
    <xf numFmtId="164" fontId="9" fillId="5" borderId="4" xfId="0" applyNumberFormat="1" applyFont="1" applyFill="1" applyBorder="1" applyAlignment="1">
      <alignment horizontal="center" vertical="center"/>
    </xf>
    <xf numFmtId="165" fontId="41" fillId="0" borderId="21" xfId="0" quotePrefix="1" applyNumberFormat="1" applyFont="1" applyBorder="1" applyAlignment="1">
      <alignment horizontal="center" vertical="center"/>
    </xf>
    <xf numFmtId="166" fontId="41" fillId="0" borderId="21" xfId="0" quotePrefix="1" applyNumberFormat="1" applyFont="1" applyBorder="1" applyAlignment="1">
      <alignment vertical="center"/>
    </xf>
    <xf numFmtId="0" fontId="0" fillId="0" borderId="0" xfId="0" applyFill="1"/>
    <xf numFmtId="165" fontId="41" fillId="0" borderId="0" xfId="0" quotePrefix="1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42" fillId="0" borderId="0" xfId="0" applyNumberFormat="1" applyFont="1" applyFill="1" applyBorder="1" applyAlignment="1" applyProtection="1">
      <alignment horizontal="left"/>
      <protection locked="0"/>
    </xf>
    <xf numFmtId="0" fontId="8" fillId="3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8" borderId="4" xfId="0" applyFont="1" applyFill="1" applyBorder="1" applyAlignment="1">
      <alignment horizontal="center" vertical="center"/>
    </xf>
    <xf numFmtId="0" fontId="7" fillId="28" borderId="1" xfId="0" applyNumberFormat="1" applyFont="1" applyFill="1" applyBorder="1" applyAlignment="1" applyProtection="1">
      <alignment horizontal="center"/>
      <protection locked="0"/>
    </xf>
    <xf numFmtId="0" fontId="7" fillId="28" borderId="3" xfId="0" quotePrefix="1" applyNumberFormat="1" applyFont="1" applyFill="1" applyBorder="1" applyAlignment="1" applyProtection="1">
      <alignment horizontal="left"/>
      <protection locked="0"/>
    </xf>
    <xf numFmtId="0" fontId="7" fillId="28" borderId="4" xfId="0" applyFont="1" applyFill="1" applyBorder="1" applyAlignment="1">
      <alignment vertical="center"/>
    </xf>
    <xf numFmtId="2" fontId="9" fillId="0" borderId="0" xfId="0" applyNumberFormat="1" applyFont="1" applyAlignment="1">
      <alignment horizontal="center"/>
    </xf>
    <xf numFmtId="0" fontId="9" fillId="0" borderId="4" xfId="0" applyFont="1" applyFill="1" applyBorder="1" applyAlignment="1">
      <alignment horizontal="center"/>
    </xf>
    <xf numFmtId="10" fontId="10" fillId="0" borderId="5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0" fontId="10" fillId="0" borderId="25" xfId="44" applyNumberFormat="1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0" fontId="14" fillId="2" borderId="16" xfId="1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" fillId="28" borderId="1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1" fillId="28" borderId="1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164" fontId="1" fillId="28" borderId="1" xfId="0" applyNumberFormat="1" applyFont="1" applyFill="1" applyBorder="1" applyAlignment="1">
      <alignment horizontal="center" vertical="center"/>
    </xf>
    <xf numFmtId="164" fontId="1" fillId="28" borderId="3" xfId="0" applyNumberFormat="1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/>
    </xf>
    <xf numFmtId="0" fontId="9" fillId="28" borderId="2" xfId="0" applyFont="1" applyFill="1" applyBorder="1" applyAlignment="1">
      <alignment horizontal="center" vertical="center"/>
    </xf>
    <xf numFmtId="0" fontId="9" fillId="28" borderId="3" xfId="0" applyFont="1" applyFill="1" applyBorder="1" applyAlignment="1">
      <alignment horizontal="center" vertical="center"/>
    </xf>
    <xf numFmtId="164" fontId="8" fillId="28" borderId="1" xfId="0" applyNumberFormat="1" applyFont="1" applyFill="1" applyBorder="1" applyAlignment="1">
      <alignment horizontal="center" vertical="center"/>
    </xf>
    <xf numFmtId="164" fontId="8" fillId="28" borderId="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" fillId="28" borderId="1" xfId="0" applyFont="1" applyFill="1" applyBorder="1" applyAlignment="1">
      <alignment horizontal="center" vertical="center"/>
    </xf>
    <xf numFmtId="0" fontId="1" fillId="28" borderId="3" xfId="0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/>
    </xf>
    <xf numFmtId="0" fontId="34" fillId="28" borderId="1" xfId="0" applyFont="1" applyFill="1" applyBorder="1" applyAlignment="1">
      <alignment horizontal="center" vertical="center"/>
    </xf>
    <xf numFmtId="0" fontId="34" fillId="28" borderId="2" xfId="0" applyFont="1" applyFill="1" applyBorder="1" applyAlignment="1">
      <alignment horizontal="center" vertical="center"/>
    </xf>
    <xf numFmtId="0" fontId="34" fillId="28" borderId="3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18" fontId="33" fillId="29" borderId="1" xfId="0" applyNumberFormat="1" applyFont="1" applyFill="1" applyBorder="1" applyAlignment="1">
      <alignment horizontal="center"/>
    </xf>
    <xf numFmtId="18" fontId="33" fillId="29" borderId="3" xfId="0" applyNumberFormat="1" applyFont="1" applyFill="1" applyBorder="1" applyAlignment="1">
      <alignment horizontal="center"/>
    </xf>
    <xf numFmtId="0" fontId="35" fillId="3" borderId="20" xfId="0" applyFont="1" applyFill="1" applyBorder="1" applyAlignment="1">
      <alignment horizontal="center" vertical="center" textRotation="90" wrapText="1"/>
    </xf>
    <xf numFmtId="0" fontId="35" fillId="3" borderId="5" xfId="0" applyFont="1" applyFill="1" applyBorder="1" applyAlignment="1">
      <alignment horizontal="center" vertical="center" textRotation="90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165" fontId="41" fillId="0" borderId="21" xfId="0" quotePrefix="1" applyNumberFormat="1" applyFont="1" applyBorder="1" applyAlignment="1">
      <alignment horizontal="center" vertical="center"/>
    </xf>
    <xf numFmtId="166" fontId="3" fillId="2" borderId="4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30" borderId="22" xfId="0" applyFont="1" applyFill="1" applyBorder="1" applyAlignment="1">
      <alignment horizontal="center" vertical="center" wrapText="1"/>
    </xf>
    <xf numFmtId="0" fontId="5" fillId="30" borderId="26" xfId="0" applyFont="1" applyFill="1" applyBorder="1" applyAlignment="1">
      <alignment horizontal="center" vertical="center" wrapText="1"/>
    </xf>
    <xf numFmtId="0" fontId="5" fillId="30" borderId="23" xfId="0" applyFont="1" applyFill="1" applyBorder="1" applyAlignment="1">
      <alignment horizontal="center" vertical="center" wrapText="1"/>
    </xf>
    <xf numFmtId="0" fontId="5" fillId="30" borderId="27" xfId="0" applyFont="1" applyFill="1" applyBorder="1" applyAlignment="1">
      <alignment horizontal="center" vertical="center" wrapText="1"/>
    </xf>
    <xf numFmtId="0" fontId="43" fillId="0" borderId="24" xfId="0" quotePrefix="1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8" fillId="31" borderId="4" xfId="0" quotePrefix="1" applyFont="1" applyFill="1" applyBorder="1" applyAlignment="1">
      <alignment horizontal="center" vertical="center" wrapText="1"/>
    </xf>
    <xf numFmtId="0" fontId="35" fillId="3" borderId="24" xfId="0" applyFont="1" applyFill="1" applyBorder="1" applyAlignment="1">
      <alignment horizontal="center" vertical="center" textRotation="90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9" fillId="28" borderId="1" xfId="0" applyFont="1" applyFill="1" applyBorder="1" applyAlignment="1">
      <alignment horizontal="center" vertical="center"/>
    </xf>
    <xf numFmtId="0" fontId="9" fillId="28" borderId="2" xfId="0" applyFont="1" applyFill="1" applyBorder="1" applyAlignment="1">
      <alignment horizontal="center" vertical="center"/>
    </xf>
    <xf numFmtId="0" fontId="9" fillId="28" borderId="3" xfId="0" applyFont="1" applyFill="1" applyBorder="1" applyAlignment="1">
      <alignment horizontal="center" vertical="center"/>
    </xf>
    <xf numFmtId="164" fontId="8" fillId="28" borderId="1" xfId="0" applyNumberFormat="1" applyFont="1" applyFill="1" applyBorder="1" applyAlignment="1">
      <alignment horizontal="center" vertical="center"/>
    </xf>
    <xf numFmtId="164" fontId="8" fillId="28" borderId="3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/>
    </xf>
    <xf numFmtId="20" fontId="15" fillId="0" borderId="4" xfId="0" applyNumberFormat="1" applyFont="1" applyBorder="1" applyAlignment="1">
      <alignment horizontal="left"/>
    </xf>
    <xf numFmtId="20" fontId="15" fillId="0" borderId="1" xfId="0" applyNumberFormat="1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/>
    <xf numFmtId="0" fontId="14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</cellXfs>
  <cellStyles count="4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cel Built-in Normal" xfId="43" xr:uid="{00000000-0005-0000-0000-00001B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1" xr:uid="{00000000-0005-0000-0000-000026000000}"/>
    <cellStyle name="Note 2" xfId="38" xr:uid="{00000000-0005-0000-0000-000027000000}"/>
    <cellStyle name="Output 2" xfId="39" xr:uid="{00000000-0005-0000-0000-000028000000}"/>
    <cellStyle name="Percent" xfId="44" builtinId="5"/>
    <cellStyle name="Title 2" xfId="40" xr:uid="{00000000-0005-0000-0000-00002A000000}"/>
    <cellStyle name="Total 2" xfId="41" xr:uid="{00000000-0005-0000-0000-00002B000000}"/>
    <cellStyle name="Warning Text 2" xfId="42" xr:uid="{00000000-0005-0000-0000-00002C000000}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878416</xdr:colOff>
      <xdr:row>0</xdr:row>
      <xdr:rowOff>211666</xdr:rowOff>
    </xdr:from>
    <xdr:to>
      <xdr:col>2</xdr:col>
      <xdr:colOff>584200</xdr:colOff>
      <xdr:row>1</xdr:row>
      <xdr:rowOff>65616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507066" y="211666"/>
          <a:ext cx="3601509" cy="58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endParaRPr lang="en-AU" sz="1600" b="1" i="0" strike="noStrike">
            <a:solidFill>
              <a:srgbClr val="000000"/>
            </a:solidFill>
            <a:latin typeface="Arial Narrow" pitchFamily="34" charset="0"/>
            <a:ea typeface="Tahoma"/>
            <a:cs typeface="Tahom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461963</xdr:colOff>
      <xdr:row>2</xdr:row>
      <xdr:rowOff>88106</xdr:rowOff>
    </xdr:from>
    <xdr:to>
      <xdr:col>4</xdr:col>
      <xdr:colOff>528638</xdr:colOff>
      <xdr:row>3</xdr:row>
      <xdr:rowOff>402431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33488" y="888206"/>
          <a:ext cx="4038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54864" bIns="0" anchor="t" upright="1"/>
        <a:lstStyle/>
        <a:p>
          <a:pPr algn="ctr" rtl="0">
            <a:defRPr sz="1000"/>
          </a:pPr>
          <a:r>
            <a:rPr lang="en-AU" sz="2400" b="1" i="0" strike="noStrike">
              <a:solidFill>
                <a:srgbClr val="000000"/>
              </a:solidFill>
              <a:latin typeface="Arial"/>
              <a:cs typeface="Arial"/>
            </a:rPr>
            <a:t>EQUITATION</a:t>
          </a:r>
          <a:endParaRPr lang="en-AU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AU" sz="1600" b="1" i="0" strike="noStrike">
              <a:solidFill>
                <a:srgbClr val="000000"/>
              </a:solidFill>
              <a:latin typeface="Arial"/>
              <a:cs typeface="Arial"/>
            </a:rPr>
            <a:t>12</a:t>
          </a:r>
          <a:r>
            <a:rPr lang="en-AU" sz="1600" b="1" i="0" strike="noStrike" baseline="0">
              <a:solidFill>
                <a:srgbClr val="000000"/>
              </a:solidFill>
              <a:latin typeface="Arial"/>
              <a:cs typeface="Arial"/>
            </a:rPr>
            <a:t>th March 2011</a:t>
          </a:r>
          <a:endParaRPr lang="en-AU" sz="16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4"/>
  <sheetViews>
    <sheetView tabSelected="1" workbookViewId="0">
      <pane xSplit="3" ySplit="4" topLeftCell="G5" activePane="bottomRight" state="frozen"/>
      <selection pane="topRight" activeCell="E1" sqref="E1"/>
      <selection pane="bottomLeft" activeCell="A5" sqref="A5"/>
      <selection pane="bottomRight" activeCell="B10" sqref="B10"/>
    </sheetView>
  </sheetViews>
  <sheetFormatPr defaultRowHeight="15" x14ac:dyDescent="0.25"/>
  <cols>
    <col min="1" max="1" width="7.140625" customWidth="1"/>
    <col min="2" max="2" width="26.7109375" customWidth="1"/>
    <col min="3" max="3" width="31.5703125" customWidth="1"/>
    <col min="4" max="4" width="16.85546875" customWidth="1"/>
    <col min="5" max="5" width="9.140625" style="1" customWidth="1"/>
    <col min="6" max="8" width="10" customWidth="1"/>
    <col min="9" max="9" width="10.140625" customWidth="1"/>
    <col min="10" max="13" width="11.7109375" customWidth="1"/>
    <col min="14" max="14" width="2" customWidth="1"/>
    <col min="15" max="15" width="11.140625" customWidth="1"/>
    <col min="16" max="16" width="10.140625" customWidth="1"/>
    <col min="17" max="17" width="8" customWidth="1"/>
    <col min="18" max="18" width="1.42578125" customWidth="1"/>
    <col min="19" max="19" width="9.42578125" customWidth="1"/>
    <col min="20" max="20" width="1.28515625" customWidth="1"/>
    <col min="248" max="248" width="7.140625" customWidth="1"/>
    <col min="249" max="249" width="33.140625" customWidth="1"/>
    <col min="250" max="250" width="29.5703125" customWidth="1"/>
    <col min="251" max="251" width="9.5703125" customWidth="1"/>
    <col min="252" max="252" width="9.140625" customWidth="1"/>
    <col min="253" max="253" width="14.85546875" customWidth="1"/>
    <col min="254" max="255" width="8.28515625" customWidth="1"/>
    <col min="262" max="262" width="2.140625" customWidth="1"/>
    <col min="264" max="264" width="10.140625" customWidth="1"/>
    <col min="504" max="504" width="7.140625" customWidth="1"/>
    <col min="505" max="505" width="33.140625" customWidth="1"/>
    <col min="506" max="506" width="29.5703125" customWidth="1"/>
    <col min="507" max="507" width="9.5703125" customWidth="1"/>
    <col min="508" max="508" width="9.140625" customWidth="1"/>
    <col min="509" max="509" width="14.85546875" customWidth="1"/>
    <col min="510" max="511" width="8.28515625" customWidth="1"/>
    <col min="518" max="518" width="2.140625" customWidth="1"/>
    <col min="520" max="520" width="10.140625" customWidth="1"/>
    <col min="760" max="760" width="7.140625" customWidth="1"/>
    <col min="761" max="761" width="33.140625" customWidth="1"/>
    <col min="762" max="762" width="29.5703125" customWidth="1"/>
    <col min="763" max="763" width="9.5703125" customWidth="1"/>
    <col min="764" max="764" width="9.140625" customWidth="1"/>
    <col min="765" max="765" width="14.85546875" customWidth="1"/>
    <col min="766" max="767" width="8.28515625" customWidth="1"/>
    <col min="774" max="774" width="2.140625" customWidth="1"/>
    <col min="776" max="776" width="10.140625" customWidth="1"/>
    <col min="1016" max="1016" width="7.140625" customWidth="1"/>
    <col min="1017" max="1017" width="33.140625" customWidth="1"/>
    <col min="1018" max="1018" width="29.5703125" customWidth="1"/>
    <col min="1019" max="1019" width="9.5703125" customWidth="1"/>
    <col min="1020" max="1020" width="9.140625" customWidth="1"/>
    <col min="1021" max="1021" width="14.85546875" customWidth="1"/>
    <col min="1022" max="1023" width="8.28515625" customWidth="1"/>
    <col min="1030" max="1030" width="2.140625" customWidth="1"/>
    <col min="1032" max="1032" width="10.140625" customWidth="1"/>
    <col min="1272" max="1272" width="7.140625" customWidth="1"/>
    <col min="1273" max="1273" width="33.140625" customWidth="1"/>
    <col min="1274" max="1274" width="29.5703125" customWidth="1"/>
    <col min="1275" max="1275" width="9.5703125" customWidth="1"/>
    <col min="1276" max="1276" width="9.140625" customWidth="1"/>
    <col min="1277" max="1277" width="14.85546875" customWidth="1"/>
    <col min="1278" max="1279" width="8.28515625" customWidth="1"/>
    <col min="1286" max="1286" width="2.140625" customWidth="1"/>
    <col min="1288" max="1288" width="10.140625" customWidth="1"/>
    <col min="1528" max="1528" width="7.140625" customWidth="1"/>
    <col min="1529" max="1529" width="33.140625" customWidth="1"/>
    <col min="1530" max="1530" width="29.5703125" customWidth="1"/>
    <col min="1531" max="1531" width="9.5703125" customWidth="1"/>
    <col min="1532" max="1532" width="9.140625" customWidth="1"/>
    <col min="1533" max="1533" width="14.85546875" customWidth="1"/>
    <col min="1534" max="1535" width="8.28515625" customWidth="1"/>
    <col min="1542" max="1542" width="2.140625" customWidth="1"/>
    <col min="1544" max="1544" width="10.140625" customWidth="1"/>
    <col min="1784" max="1784" width="7.140625" customWidth="1"/>
    <col min="1785" max="1785" width="33.140625" customWidth="1"/>
    <col min="1786" max="1786" width="29.5703125" customWidth="1"/>
    <col min="1787" max="1787" width="9.5703125" customWidth="1"/>
    <col min="1788" max="1788" width="9.140625" customWidth="1"/>
    <col min="1789" max="1789" width="14.85546875" customWidth="1"/>
    <col min="1790" max="1791" width="8.28515625" customWidth="1"/>
    <col min="1798" max="1798" width="2.140625" customWidth="1"/>
    <col min="1800" max="1800" width="10.140625" customWidth="1"/>
    <col min="2040" max="2040" width="7.140625" customWidth="1"/>
    <col min="2041" max="2041" width="33.140625" customWidth="1"/>
    <col min="2042" max="2042" width="29.5703125" customWidth="1"/>
    <col min="2043" max="2043" width="9.5703125" customWidth="1"/>
    <col min="2044" max="2044" width="9.140625" customWidth="1"/>
    <col min="2045" max="2045" width="14.85546875" customWidth="1"/>
    <col min="2046" max="2047" width="8.28515625" customWidth="1"/>
    <col min="2054" max="2054" width="2.140625" customWidth="1"/>
    <col min="2056" max="2056" width="10.140625" customWidth="1"/>
    <col min="2296" max="2296" width="7.140625" customWidth="1"/>
    <col min="2297" max="2297" width="33.140625" customWidth="1"/>
    <col min="2298" max="2298" width="29.5703125" customWidth="1"/>
    <col min="2299" max="2299" width="9.5703125" customWidth="1"/>
    <col min="2300" max="2300" width="9.140625" customWidth="1"/>
    <col min="2301" max="2301" width="14.85546875" customWidth="1"/>
    <col min="2302" max="2303" width="8.28515625" customWidth="1"/>
    <col min="2310" max="2310" width="2.140625" customWidth="1"/>
    <col min="2312" max="2312" width="10.140625" customWidth="1"/>
    <col min="2552" max="2552" width="7.140625" customWidth="1"/>
    <col min="2553" max="2553" width="33.140625" customWidth="1"/>
    <col min="2554" max="2554" width="29.5703125" customWidth="1"/>
    <col min="2555" max="2555" width="9.5703125" customWidth="1"/>
    <col min="2556" max="2556" width="9.140625" customWidth="1"/>
    <col min="2557" max="2557" width="14.85546875" customWidth="1"/>
    <col min="2558" max="2559" width="8.28515625" customWidth="1"/>
    <col min="2566" max="2566" width="2.140625" customWidth="1"/>
    <col min="2568" max="2568" width="10.140625" customWidth="1"/>
    <col min="2808" max="2808" width="7.140625" customWidth="1"/>
    <col min="2809" max="2809" width="33.140625" customWidth="1"/>
    <col min="2810" max="2810" width="29.5703125" customWidth="1"/>
    <col min="2811" max="2811" width="9.5703125" customWidth="1"/>
    <col min="2812" max="2812" width="9.140625" customWidth="1"/>
    <col min="2813" max="2813" width="14.85546875" customWidth="1"/>
    <col min="2814" max="2815" width="8.28515625" customWidth="1"/>
    <col min="2822" max="2822" width="2.140625" customWidth="1"/>
    <col min="2824" max="2824" width="10.140625" customWidth="1"/>
    <col min="3064" max="3064" width="7.140625" customWidth="1"/>
    <col min="3065" max="3065" width="33.140625" customWidth="1"/>
    <col min="3066" max="3066" width="29.5703125" customWidth="1"/>
    <col min="3067" max="3067" width="9.5703125" customWidth="1"/>
    <col min="3068" max="3068" width="9.140625" customWidth="1"/>
    <col min="3069" max="3069" width="14.85546875" customWidth="1"/>
    <col min="3070" max="3071" width="8.28515625" customWidth="1"/>
    <col min="3078" max="3078" width="2.140625" customWidth="1"/>
    <col min="3080" max="3080" width="10.140625" customWidth="1"/>
    <col min="3320" max="3320" width="7.140625" customWidth="1"/>
    <col min="3321" max="3321" width="33.140625" customWidth="1"/>
    <col min="3322" max="3322" width="29.5703125" customWidth="1"/>
    <col min="3323" max="3323" width="9.5703125" customWidth="1"/>
    <col min="3324" max="3324" width="9.140625" customWidth="1"/>
    <col min="3325" max="3325" width="14.85546875" customWidth="1"/>
    <col min="3326" max="3327" width="8.28515625" customWidth="1"/>
    <col min="3334" max="3334" width="2.140625" customWidth="1"/>
    <col min="3336" max="3336" width="10.140625" customWidth="1"/>
    <col min="3576" max="3576" width="7.140625" customWidth="1"/>
    <col min="3577" max="3577" width="33.140625" customWidth="1"/>
    <col min="3578" max="3578" width="29.5703125" customWidth="1"/>
    <col min="3579" max="3579" width="9.5703125" customWidth="1"/>
    <col min="3580" max="3580" width="9.140625" customWidth="1"/>
    <col min="3581" max="3581" width="14.85546875" customWidth="1"/>
    <col min="3582" max="3583" width="8.28515625" customWidth="1"/>
    <col min="3590" max="3590" width="2.140625" customWidth="1"/>
    <col min="3592" max="3592" width="10.140625" customWidth="1"/>
    <col min="3832" max="3832" width="7.140625" customWidth="1"/>
    <col min="3833" max="3833" width="33.140625" customWidth="1"/>
    <col min="3834" max="3834" width="29.5703125" customWidth="1"/>
    <col min="3835" max="3835" width="9.5703125" customWidth="1"/>
    <col min="3836" max="3836" width="9.140625" customWidth="1"/>
    <col min="3837" max="3837" width="14.85546875" customWidth="1"/>
    <col min="3838" max="3839" width="8.28515625" customWidth="1"/>
    <col min="3846" max="3846" width="2.140625" customWidth="1"/>
    <col min="3848" max="3848" width="10.140625" customWidth="1"/>
    <col min="4088" max="4088" width="7.140625" customWidth="1"/>
    <col min="4089" max="4089" width="33.140625" customWidth="1"/>
    <col min="4090" max="4090" width="29.5703125" customWidth="1"/>
    <col min="4091" max="4091" width="9.5703125" customWidth="1"/>
    <col min="4092" max="4092" width="9.140625" customWidth="1"/>
    <col min="4093" max="4093" width="14.85546875" customWidth="1"/>
    <col min="4094" max="4095" width="8.28515625" customWidth="1"/>
    <col min="4102" max="4102" width="2.140625" customWidth="1"/>
    <col min="4104" max="4104" width="10.140625" customWidth="1"/>
    <col min="4344" max="4344" width="7.140625" customWidth="1"/>
    <col min="4345" max="4345" width="33.140625" customWidth="1"/>
    <col min="4346" max="4346" width="29.5703125" customWidth="1"/>
    <col min="4347" max="4347" width="9.5703125" customWidth="1"/>
    <col min="4348" max="4348" width="9.140625" customWidth="1"/>
    <col min="4349" max="4349" width="14.85546875" customWidth="1"/>
    <col min="4350" max="4351" width="8.28515625" customWidth="1"/>
    <col min="4358" max="4358" width="2.140625" customWidth="1"/>
    <col min="4360" max="4360" width="10.140625" customWidth="1"/>
    <col min="4600" max="4600" width="7.140625" customWidth="1"/>
    <col min="4601" max="4601" width="33.140625" customWidth="1"/>
    <col min="4602" max="4602" width="29.5703125" customWidth="1"/>
    <col min="4603" max="4603" width="9.5703125" customWidth="1"/>
    <col min="4604" max="4604" width="9.140625" customWidth="1"/>
    <col min="4605" max="4605" width="14.85546875" customWidth="1"/>
    <col min="4606" max="4607" width="8.28515625" customWidth="1"/>
    <col min="4614" max="4614" width="2.140625" customWidth="1"/>
    <col min="4616" max="4616" width="10.140625" customWidth="1"/>
    <col min="4856" max="4856" width="7.140625" customWidth="1"/>
    <col min="4857" max="4857" width="33.140625" customWidth="1"/>
    <col min="4858" max="4858" width="29.5703125" customWidth="1"/>
    <col min="4859" max="4859" width="9.5703125" customWidth="1"/>
    <col min="4860" max="4860" width="9.140625" customWidth="1"/>
    <col min="4861" max="4861" width="14.85546875" customWidth="1"/>
    <col min="4862" max="4863" width="8.28515625" customWidth="1"/>
    <col min="4870" max="4870" width="2.140625" customWidth="1"/>
    <col min="4872" max="4872" width="10.140625" customWidth="1"/>
    <col min="5112" max="5112" width="7.140625" customWidth="1"/>
    <col min="5113" max="5113" width="33.140625" customWidth="1"/>
    <col min="5114" max="5114" width="29.5703125" customWidth="1"/>
    <col min="5115" max="5115" width="9.5703125" customWidth="1"/>
    <col min="5116" max="5116" width="9.140625" customWidth="1"/>
    <col min="5117" max="5117" width="14.85546875" customWidth="1"/>
    <col min="5118" max="5119" width="8.28515625" customWidth="1"/>
    <col min="5126" max="5126" width="2.140625" customWidth="1"/>
    <col min="5128" max="5128" width="10.140625" customWidth="1"/>
    <col min="5368" max="5368" width="7.140625" customWidth="1"/>
    <col min="5369" max="5369" width="33.140625" customWidth="1"/>
    <col min="5370" max="5370" width="29.5703125" customWidth="1"/>
    <col min="5371" max="5371" width="9.5703125" customWidth="1"/>
    <col min="5372" max="5372" width="9.140625" customWidth="1"/>
    <col min="5373" max="5373" width="14.85546875" customWidth="1"/>
    <col min="5374" max="5375" width="8.28515625" customWidth="1"/>
    <col min="5382" max="5382" width="2.140625" customWidth="1"/>
    <col min="5384" max="5384" width="10.140625" customWidth="1"/>
    <col min="5624" max="5624" width="7.140625" customWidth="1"/>
    <col min="5625" max="5625" width="33.140625" customWidth="1"/>
    <col min="5626" max="5626" width="29.5703125" customWidth="1"/>
    <col min="5627" max="5627" width="9.5703125" customWidth="1"/>
    <col min="5628" max="5628" width="9.140625" customWidth="1"/>
    <col min="5629" max="5629" width="14.85546875" customWidth="1"/>
    <col min="5630" max="5631" width="8.28515625" customWidth="1"/>
    <col min="5638" max="5638" width="2.140625" customWidth="1"/>
    <col min="5640" max="5640" width="10.140625" customWidth="1"/>
    <col min="5880" max="5880" width="7.140625" customWidth="1"/>
    <col min="5881" max="5881" width="33.140625" customWidth="1"/>
    <col min="5882" max="5882" width="29.5703125" customWidth="1"/>
    <col min="5883" max="5883" width="9.5703125" customWidth="1"/>
    <col min="5884" max="5884" width="9.140625" customWidth="1"/>
    <col min="5885" max="5885" width="14.85546875" customWidth="1"/>
    <col min="5886" max="5887" width="8.28515625" customWidth="1"/>
    <col min="5894" max="5894" width="2.140625" customWidth="1"/>
    <col min="5896" max="5896" width="10.140625" customWidth="1"/>
    <col min="6136" max="6136" width="7.140625" customWidth="1"/>
    <col min="6137" max="6137" width="33.140625" customWidth="1"/>
    <col min="6138" max="6138" width="29.5703125" customWidth="1"/>
    <col min="6139" max="6139" width="9.5703125" customWidth="1"/>
    <col min="6140" max="6140" width="9.140625" customWidth="1"/>
    <col min="6141" max="6141" width="14.85546875" customWidth="1"/>
    <col min="6142" max="6143" width="8.28515625" customWidth="1"/>
    <col min="6150" max="6150" width="2.140625" customWidth="1"/>
    <col min="6152" max="6152" width="10.140625" customWidth="1"/>
    <col min="6392" max="6392" width="7.140625" customWidth="1"/>
    <col min="6393" max="6393" width="33.140625" customWidth="1"/>
    <col min="6394" max="6394" width="29.5703125" customWidth="1"/>
    <col min="6395" max="6395" width="9.5703125" customWidth="1"/>
    <col min="6396" max="6396" width="9.140625" customWidth="1"/>
    <col min="6397" max="6397" width="14.85546875" customWidth="1"/>
    <col min="6398" max="6399" width="8.28515625" customWidth="1"/>
    <col min="6406" max="6406" width="2.140625" customWidth="1"/>
    <col min="6408" max="6408" width="10.140625" customWidth="1"/>
    <col min="6648" max="6648" width="7.140625" customWidth="1"/>
    <col min="6649" max="6649" width="33.140625" customWidth="1"/>
    <col min="6650" max="6650" width="29.5703125" customWidth="1"/>
    <col min="6651" max="6651" width="9.5703125" customWidth="1"/>
    <col min="6652" max="6652" width="9.140625" customWidth="1"/>
    <col min="6653" max="6653" width="14.85546875" customWidth="1"/>
    <col min="6654" max="6655" width="8.28515625" customWidth="1"/>
    <col min="6662" max="6662" width="2.140625" customWidth="1"/>
    <col min="6664" max="6664" width="10.140625" customWidth="1"/>
    <col min="6904" max="6904" width="7.140625" customWidth="1"/>
    <col min="6905" max="6905" width="33.140625" customWidth="1"/>
    <col min="6906" max="6906" width="29.5703125" customWidth="1"/>
    <col min="6907" max="6907" width="9.5703125" customWidth="1"/>
    <col min="6908" max="6908" width="9.140625" customWidth="1"/>
    <col min="6909" max="6909" width="14.85546875" customWidth="1"/>
    <col min="6910" max="6911" width="8.28515625" customWidth="1"/>
    <col min="6918" max="6918" width="2.140625" customWidth="1"/>
    <col min="6920" max="6920" width="10.140625" customWidth="1"/>
    <col min="7160" max="7160" width="7.140625" customWidth="1"/>
    <col min="7161" max="7161" width="33.140625" customWidth="1"/>
    <col min="7162" max="7162" width="29.5703125" customWidth="1"/>
    <col min="7163" max="7163" width="9.5703125" customWidth="1"/>
    <col min="7164" max="7164" width="9.140625" customWidth="1"/>
    <col min="7165" max="7165" width="14.85546875" customWidth="1"/>
    <col min="7166" max="7167" width="8.28515625" customWidth="1"/>
    <col min="7174" max="7174" width="2.140625" customWidth="1"/>
    <col min="7176" max="7176" width="10.140625" customWidth="1"/>
    <col min="7416" max="7416" width="7.140625" customWidth="1"/>
    <col min="7417" max="7417" width="33.140625" customWidth="1"/>
    <col min="7418" max="7418" width="29.5703125" customWidth="1"/>
    <col min="7419" max="7419" width="9.5703125" customWidth="1"/>
    <col min="7420" max="7420" width="9.140625" customWidth="1"/>
    <col min="7421" max="7421" width="14.85546875" customWidth="1"/>
    <col min="7422" max="7423" width="8.28515625" customWidth="1"/>
    <col min="7430" max="7430" width="2.140625" customWidth="1"/>
    <col min="7432" max="7432" width="10.140625" customWidth="1"/>
    <col min="7672" max="7672" width="7.140625" customWidth="1"/>
    <col min="7673" max="7673" width="33.140625" customWidth="1"/>
    <col min="7674" max="7674" width="29.5703125" customWidth="1"/>
    <col min="7675" max="7675" width="9.5703125" customWidth="1"/>
    <col min="7676" max="7676" width="9.140625" customWidth="1"/>
    <col min="7677" max="7677" width="14.85546875" customWidth="1"/>
    <col min="7678" max="7679" width="8.28515625" customWidth="1"/>
    <col min="7686" max="7686" width="2.140625" customWidth="1"/>
    <col min="7688" max="7688" width="10.140625" customWidth="1"/>
    <col min="7928" max="7928" width="7.140625" customWidth="1"/>
    <col min="7929" max="7929" width="33.140625" customWidth="1"/>
    <col min="7930" max="7930" width="29.5703125" customWidth="1"/>
    <col min="7931" max="7931" width="9.5703125" customWidth="1"/>
    <col min="7932" max="7932" width="9.140625" customWidth="1"/>
    <col min="7933" max="7933" width="14.85546875" customWidth="1"/>
    <col min="7934" max="7935" width="8.28515625" customWidth="1"/>
    <col min="7942" max="7942" width="2.140625" customWidth="1"/>
    <col min="7944" max="7944" width="10.140625" customWidth="1"/>
    <col min="8184" max="8184" width="7.140625" customWidth="1"/>
    <col min="8185" max="8185" width="33.140625" customWidth="1"/>
    <col min="8186" max="8186" width="29.5703125" customWidth="1"/>
    <col min="8187" max="8187" width="9.5703125" customWidth="1"/>
    <col min="8188" max="8188" width="9.140625" customWidth="1"/>
    <col min="8189" max="8189" width="14.85546875" customWidth="1"/>
    <col min="8190" max="8191" width="8.28515625" customWidth="1"/>
    <col min="8198" max="8198" width="2.140625" customWidth="1"/>
    <col min="8200" max="8200" width="10.140625" customWidth="1"/>
    <col min="8440" max="8440" width="7.140625" customWidth="1"/>
    <col min="8441" max="8441" width="33.140625" customWidth="1"/>
    <col min="8442" max="8442" width="29.5703125" customWidth="1"/>
    <col min="8443" max="8443" width="9.5703125" customWidth="1"/>
    <col min="8444" max="8444" width="9.140625" customWidth="1"/>
    <col min="8445" max="8445" width="14.85546875" customWidth="1"/>
    <col min="8446" max="8447" width="8.28515625" customWidth="1"/>
    <col min="8454" max="8454" width="2.140625" customWidth="1"/>
    <col min="8456" max="8456" width="10.140625" customWidth="1"/>
    <col min="8696" max="8696" width="7.140625" customWidth="1"/>
    <col min="8697" max="8697" width="33.140625" customWidth="1"/>
    <col min="8698" max="8698" width="29.5703125" customWidth="1"/>
    <col min="8699" max="8699" width="9.5703125" customWidth="1"/>
    <col min="8700" max="8700" width="9.140625" customWidth="1"/>
    <col min="8701" max="8701" width="14.85546875" customWidth="1"/>
    <col min="8702" max="8703" width="8.28515625" customWidth="1"/>
    <col min="8710" max="8710" width="2.140625" customWidth="1"/>
    <col min="8712" max="8712" width="10.140625" customWidth="1"/>
    <col min="8952" max="8952" width="7.140625" customWidth="1"/>
    <col min="8953" max="8953" width="33.140625" customWidth="1"/>
    <col min="8954" max="8954" width="29.5703125" customWidth="1"/>
    <col min="8955" max="8955" width="9.5703125" customWidth="1"/>
    <col min="8956" max="8956" width="9.140625" customWidth="1"/>
    <col min="8957" max="8957" width="14.85546875" customWidth="1"/>
    <col min="8958" max="8959" width="8.28515625" customWidth="1"/>
    <col min="8966" max="8966" width="2.140625" customWidth="1"/>
    <col min="8968" max="8968" width="10.140625" customWidth="1"/>
    <col min="9208" max="9208" width="7.140625" customWidth="1"/>
    <col min="9209" max="9209" width="33.140625" customWidth="1"/>
    <col min="9210" max="9210" width="29.5703125" customWidth="1"/>
    <col min="9211" max="9211" width="9.5703125" customWidth="1"/>
    <col min="9212" max="9212" width="9.140625" customWidth="1"/>
    <col min="9213" max="9213" width="14.85546875" customWidth="1"/>
    <col min="9214" max="9215" width="8.28515625" customWidth="1"/>
    <col min="9222" max="9222" width="2.140625" customWidth="1"/>
    <col min="9224" max="9224" width="10.140625" customWidth="1"/>
    <col min="9464" max="9464" width="7.140625" customWidth="1"/>
    <col min="9465" max="9465" width="33.140625" customWidth="1"/>
    <col min="9466" max="9466" width="29.5703125" customWidth="1"/>
    <col min="9467" max="9467" width="9.5703125" customWidth="1"/>
    <col min="9468" max="9468" width="9.140625" customWidth="1"/>
    <col min="9469" max="9469" width="14.85546875" customWidth="1"/>
    <col min="9470" max="9471" width="8.28515625" customWidth="1"/>
    <col min="9478" max="9478" width="2.140625" customWidth="1"/>
    <col min="9480" max="9480" width="10.140625" customWidth="1"/>
    <col min="9720" max="9720" width="7.140625" customWidth="1"/>
    <col min="9721" max="9721" width="33.140625" customWidth="1"/>
    <col min="9722" max="9722" width="29.5703125" customWidth="1"/>
    <col min="9723" max="9723" width="9.5703125" customWidth="1"/>
    <col min="9724" max="9724" width="9.140625" customWidth="1"/>
    <col min="9725" max="9725" width="14.85546875" customWidth="1"/>
    <col min="9726" max="9727" width="8.28515625" customWidth="1"/>
    <col min="9734" max="9734" width="2.140625" customWidth="1"/>
    <col min="9736" max="9736" width="10.140625" customWidth="1"/>
    <col min="9976" max="9976" width="7.140625" customWidth="1"/>
    <col min="9977" max="9977" width="33.140625" customWidth="1"/>
    <col min="9978" max="9978" width="29.5703125" customWidth="1"/>
    <col min="9979" max="9979" width="9.5703125" customWidth="1"/>
    <col min="9980" max="9980" width="9.140625" customWidth="1"/>
    <col min="9981" max="9981" width="14.85546875" customWidth="1"/>
    <col min="9982" max="9983" width="8.28515625" customWidth="1"/>
    <col min="9990" max="9990" width="2.140625" customWidth="1"/>
    <col min="9992" max="9992" width="10.140625" customWidth="1"/>
    <col min="10232" max="10232" width="7.140625" customWidth="1"/>
    <col min="10233" max="10233" width="33.140625" customWidth="1"/>
    <col min="10234" max="10234" width="29.5703125" customWidth="1"/>
    <col min="10235" max="10235" width="9.5703125" customWidth="1"/>
    <col min="10236" max="10236" width="9.140625" customWidth="1"/>
    <col min="10237" max="10237" width="14.85546875" customWidth="1"/>
    <col min="10238" max="10239" width="8.28515625" customWidth="1"/>
    <col min="10246" max="10246" width="2.140625" customWidth="1"/>
    <col min="10248" max="10248" width="10.140625" customWidth="1"/>
    <col min="10488" max="10488" width="7.140625" customWidth="1"/>
    <col min="10489" max="10489" width="33.140625" customWidth="1"/>
    <col min="10490" max="10490" width="29.5703125" customWidth="1"/>
    <col min="10491" max="10491" width="9.5703125" customWidth="1"/>
    <col min="10492" max="10492" width="9.140625" customWidth="1"/>
    <col min="10493" max="10493" width="14.85546875" customWidth="1"/>
    <col min="10494" max="10495" width="8.28515625" customWidth="1"/>
    <col min="10502" max="10502" width="2.140625" customWidth="1"/>
    <col min="10504" max="10504" width="10.140625" customWidth="1"/>
    <col min="10744" max="10744" width="7.140625" customWidth="1"/>
    <col min="10745" max="10745" width="33.140625" customWidth="1"/>
    <col min="10746" max="10746" width="29.5703125" customWidth="1"/>
    <col min="10747" max="10747" width="9.5703125" customWidth="1"/>
    <col min="10748" max="10748" width="9.140625" customWidth="1"/>
    <col min="10749" max="10749" width="14.85546875" customWidth="1"/>
    <col min="10750" max="10751" width="8.28515625" customWidth="1"/>
    <col min="10758" max="10758" width="2.140625" customWidth="1"/>
    <col min="10760" max="10760" width="10.140625" customWidth="1"/>
    <col min="11000" max="11000" width="7.140625" customWidth="1"/>
    <col min="11001" max="11001" width="33.140625" customWidth="1"/>
    <col min="11002" max="11002" width="29.5703125" customWidth="1"/>
    <col min="11003" max="11003" width="9.5703125" customWidth="1"/>
    <col min="11004" max="11004" width="9.140625" customWidth="1"/>
    <col min="11005" max="11005" width="14.85546875" customWidth="1"/>
    <col min="11006" max="11007" width="8.28515625" customWidth="1"/>
    <col min="11014" max="11014" width="2.140625" customWidth="1"/>
    <col min="11016" max="11016" width="10.140625" customWidth="1"/>
    <col min="11256" max="11256" width="7.140625" customWidth="1"/>
    <col min="11257" max="11257" width="33.140625" customWidth="1"/>
    <col min="11258" max="11258" width="29.5703125" customWidth="1"/>
    <col min="11259" max="11259" width="9.5703125" customWidth="1"/>
    <col min="11260" max="11260" width="9.140625" customWidth="1"/>
    <col min="11261" max="11261" width="14.85546875" customWidth="1"/>
    <col min="11262" max="11263" width="8.28515625" customWidth="1"/>
    <col min="11270" max="11270" width="2.140625" customWidth="1"/>
    <col min="11272" max="11272" width="10.140625" customWidth="1"/>
    <col min="11512" max="11512" width="7.140625" customWidth="1"/>
    <col min="11513" max="11513" width="33.140625" customWidth="1"/>
    <col min="11514" max="11514" width="29.5703125" customWidth="1"/>
    <col min="11515" max="11515" width="9.5703125" customWidth="1"/>
    <col min="11516" max="11516" width="9.140625" customWidth="1"/>
    <col min="11517" max="11517" width="14.85546875" customWidth="1"/>
    <col min="11518" max="11519" width="8.28515625" customWidth="1"/>
    <col min="11526" max="11526" width="2.140625" customWidth="1"/>
    <col min="11528" max="11528" width="10.140625" customWidth="1"/>
    <col min="11768" max="11768" width="7.140625" customWidth="1"/>
    <col min="11769" max="11769" width="33.140625" customWidth="1"/>
    <col min="11770" max="11770" width="29.5703125" customWidth="1"/>
    <col min="11771" max="11771" width="9.5703125" customWidth="1"/>
    <col min="11772" max="11772" width="9.140625" customWidth="1"/>
    <col min="11773" max="11773" width="14.85546875" customWidth="1"/>
    <col min="11774" max="11775" width="8.28515625" customWidth="1"/>
    <col min="11782" max="11782" width="2.140625" customWidth="1"/>
    <col min="11784" max="11784" width="10.140625" customWidth="1"/>
    <col min="12024" max="12024" width="7.140625" customWidth="1"/>
    <col min="12025" max="12025" width="33.140625" customWidth="1"/>
    <col min="12026" max="12026" width="29.5703125" customWidth="1"/>
    <col min="12027" max="12027" width="9.5703125" customWidth="1"/>
    <col min="12028" max="12028" width="9.140625" customWidth="1"/>
    <col min="12029" max="12029" width="14.85546875" customWidth="1"/>
    <col min="12030" max="12031" width="8.28515625" customWidth="1"/>
    <col min="12038" max="12038" width="2.140625" customWidth="1"/>
    <col min="12040" max="12040" width="10.140625" customWidth="1"/>
    <col min="12280" max="12280" width="7.140625" customWidth="1"/>
    <col min="12281" max="12281" width="33.140625" customWidth="1"/>
    <col min="12282" max="12282" width="29.5703125" customWidth="1"/>
    <col min="12283" max="12283" width="9.5703125" customWidth="1"/>
    <col min="12284" max="12284" width="9.140625" customWidth="1"/>
    <col min="12285" max="12285" width="14.85546875" customWidth="1"/>
    <col min="12286" max="12287" width="8.28515625" customWidth="1"/>
    <col min="12294" max="12294" width="2.140625" customWidth="1"/>
    <col min="12296" max="12296" width="10.140625" customWidth="1"/>
    <col min="12536" max="12536" width="7.140625" customWidth="1"/>
    <col min="12537" max="12537" width="33.140625" customWidth="1"/>
    <col min="12538" max="12538" width="29.5703125" customWidth="1"/>
    <col min="12539" max="12539" width="9.5703125" customWidth="1"/>
    <col min="12540" max="12540" width="9.140625" customWidth="1"/>
    <col min="12541" max="12541" width="14.85546875" customWidth="1"/>
    <col min="12542" max="12543" width="8.28515625" customWidth="1"/>
    <col min="12550" max="12550" width="2.140625" customWidth="1"/>
    <col min="12552" max="12552" width="10.140625" customWidth="1"/>
    <col min="12792" max="12792" width="7.140625" customWidth="1"/>
    <col min="12793" max="12793" width="33.140625" customWidth="1"/>
    <col min="12794" max="12794" width="29.5703125" customWidth="1"/>
    <col min="12795" max="12795" width="9.5703125" customWidth="1"/>
    <col min="12796" max="12796" width="9.140625" customWidth="1"/>
    <col min="12797" max="12797" width="14.85546875" customWidth="1"/>
    <col min="12798" max="12799" width="8.28515625" customWidth="1"/>
    <col min="12806" max="12806" width="2.140625" customWidth="1"/>
    <col min="12808" max="12808" width="10.140625" customWidth="1"/>
    <col min="13048" max="13048" width="7.140625" customWidth="1"/>
    <col min="13049" max="13049" width="33.140625" customWidth="1"/>
    <col min="13050" max="13050" width="29.5703125" customWidth="1"/>
    <col min="13051" max="13051" width="9.5703125" customWidth="1"/>
    <col min="13052" max="13052" width="9.140625" customWidth="1"/>
    <col min="13053" max="13053" width="14.85546875" customWidth="1"/>
    <col min="13054" max="13055" width="8.28515625" customWidth="1"/>
    <col min="13062" max="13062" width="2.140625" customWidth="1"/>
    <col min="13064" max="13064" width="10.140625" customWidth="1"/>
    <col min="13304" max="13304" width="7.140625" customWidth="1"/>
    <col min="13305" max="13305" width="33.140625" customWidth="1"/>
    <col min="13306" max="13306" width="29.5703125" customWidth="1"/>
    <col min="13307" max="13307" width="9.5703125" customWidth="1"/>
    <col min="13308" max="13308" width="9.140625" customWidth="1"/>
    <col min="13309" max="13309" width="14.85546875" customWidth="1"/>
    <col min="13310" max="13311" width="8.28515625" customWidth="1"/>
    <col min="13318" max="13318" width="2.140625" customWidth="1"/>
    <col min="13320" max="13320" width="10.140625" customWidth="1"/>
    <col min="13560" max="13560" width="7.140625" customWidth="1"/>
    <col min="13561" max="13561" width="33.140625" customWidth="1"/>
    <col min="13562" max="13562" width="29.5703125" customWidth="1"/>
    <col min="13563" max="13563" width="9.5703125" customWidth="1"/>
    <col min="13564" max="13564" width="9.140625" customWidth="1"/>
    <col min="13565" max="13565" width="14.85546875" customWidth="1"/>
    <col min="13566" max="13567" width="8.28515625" customWidth="1"/>
    <col min="13574" max="13574" width="2.140625" customWidth="1"/>
    <col min="13576" max="13576" width="10.140625" customWidth="1"/>
    <col min="13816" max="13816" width="7.140625" customWidth="1"/>
    <col min="13817" max="13817" width="33.140625" customWidth="1"/>
    <col min="13818" max="13818" width="29.5703125" customWidth="1"/>
    <col min="13819" max="13819" width="9.5703125" customWidth="1"/>
    <col min="13820" max="13820" width="9.140625" customWidth="1"/>
    <col min="13821" max="13821" width="14.85546875" customWidth="1"/>
    <col min="13822" max="13823" width="8.28515625" customWidth="1"/>
    <col min="13830" max="13830" width="2.140625" customWidth="1"/>
    <col min="13832" max="13832" width="10.140625" customWidth="1"/>
    <col min="14072" max="14072" width="7.140625" customWidth="1"/>
    <col min="14073" max="14073" width="33.140625" customWidth="1"/>
    <col min="14074" max="14074" width="29.5703125" customWidth="1"/>
    <col min="14075" max="14075" width="9.5703125" customWidth="1"/>
    <col min="14076" max="14076" width="9.140625" customWidth="1"/>
    <col min="14077" max="14077" width="14.85546875" customWidth="1"/>
    <col min="14078" max="14079" width="8.28515625" customWidth="1"/>
    <col min="14086" max="14086" width="2.140625" customWidth="1"/>
    <col min="14088" max="14088" width="10.140625" customWidth="1"/>
    <col min="14328" max="14328" width="7.140625" customWidth="1"/>
    <col min="14329" max="14329" width="33.140625" customWidth="1"/>
    <col min="14330" max="14330" width="29.5703125" customWidth="1"/>
    <col min="14331" max="14331" width="9.5703125" customWidth="1"/>
    <col min="14332" max="14332" width="9.140625" customWidth="1"/>
    <col min="14333" max="14333" width="14.85546875" customWidth="1"/>
    <col min="14334" max="14335" width="8.28515625" customWidth="1"/>
    <col min="14342" max="14342" width="2.140625" customWidth="1"/>
    <col min="14344" max="14344" width="10.140625" customWidth="1"/>
    <col min="14584" max="14584" width="7.140625" customWidth="1"/>
    <col min="14585" max="14585" width="33.140625" customWidth="1"/>
    <col min="14586" max="14586" width="29.5703125" customWidth="1"/>
    <col min="14587" max="14587" width="9.5703125" customWidth="1"/>
    <col min="14588" max="14588" width="9.140625" customWidth="1"/>
    <col min="14589" max="14589" width="14.85546875" customWidth="1"/>
    <col min="14590" max="14591" width="8.28515625" customWidth="1"/>
    <col min="14598" max="14598" width="2.140625" customWidth="1"/>
    <col min="14600" max="14600" width="10.140625" customWidth="1"/>
    <col min="14840" max="14840" width="7.140625" customWidth="1"/>
    <col min="14841" max="14841" width="33.140625" customWidth="1"/>
    <col min="14842" max="14842" width="29.5703125" customWidth="1"/>
    <col min="14843" max="14843" width="9.5703125" customWidth="1"/>
    <col min="14844" max="14844" width="9.140625" customWidth="1"/>
    <col min="14845" max="14845" width="14.85546875" customWidth="1"/>
    <col min="14846" max="14847" width="8.28515625" customWidth="1"/>
    <col min="14854" max="14854" width="2.140625" customWidth="1"/>
    <col min="14856" max="14856" width="10.140625" customWidth="1"/>
    <col min="15096" max="15096" width="7.140625" customWidth="1"/>
    <col min="15097" max="15097" width="33.140625" customWidth="1"/>
    <col min="15098" max="15098" width="29.5703125" customWidth="1"/>
    <col min="15099" max="15099" width="9.5703125" customWidth="1"/>
    <col min="15100" max="15100" width="9.140625" customWidth="1"/>
    <col min="15101" max="15101" width="14.85546875" customWidth="1"/>
    <col min="15102" max="15103" width="8.28515625" customWidth="1"/>
    <col min="15110" max="15110" width="2.140625" customWidth="1"/>
    <col min="15112" max="15112" width="10.140625" customWidth="1"/>
    <col min="15352" max="15352" width="7.140625" customWidth="1"/>
    <col min="15353" max="15353" width="33.140625" customWidth="1"/>
    <col min="15354" max="15354" width="29.5703125" customWidth="1"/>
    <col min="15355" max="15355" width="9.5703125" customWidth="1"/>
    <col min="15356" max="15356" width="9.140625" customWidth="1"/>
    <col min="15357" max="15357" width="14.85546875" customWidth="1"/>
    <col min="15358" max="15359" width="8.28515625" customWidth="1"/>
    <col min="15366" max="15366" width="2.140625" customWidth="1"/>
    <col min="15368" max="15368" width="10.140625" customWidth="1"/>
    <col min="15608" max="15608" width="7.140625" customWidth="1"/>
    <col min="15609" max="15609" width="33.140625" customWidth="1"/>
    <col min="15610" max="15610" width="29.5703125" customWidth="1"/>
    <col min="15611" max="15611" width="9.5703125" customWidth="1"/>
    <col min="15612" max="15612" width="9.140625" customWidth="1"/>
    <col min="15613" max="15613" width="14.85546875" customWidth="1"/>
    <col min="15614" max="15615" width="8.28515625" customWidth="1"/>
    <col min="15622" max="15622" width="2.140625" customWidth="1"/>
    <col min="15624" max="15624" width="10.140625" customWidth="1"/>
    <col min="15864" max="15864" width="7.140625" customWidth="1"/>
    <col min="15865" max="15865" width="33.140625" customWidth="1"/>
    <col min="15866" max="15866" width="29.5703125" customWidth="1"/>
    <col min="15867" max="15867" width="9.5703125" customWidth="1"/>
    <col min="15868" max="15868" width="9.140625" customWidth="1"/>
    <col min="15869" max="15869" width="14.85546875" customWidth="1"/>
    <col min="15870" max="15871" width="8.28515625" customWidth="1"/>
    <col min="15878" max="15878" width="2.140625" customWidth="1"/>
    <col min="15880" max="15880" width="10.140625" customWidth="1"/>
    <col min="16120" max="16120" width="7.140625" customWidth="1"/>
    <col min="16121" max="16121" width="33.140625" customWidth="1"/>
    <col min="16122" max="16122" width="29.5703125" customWidth="1"/>
    <col min="16123" max="16123" width="9.5703125" customWidth="1"/>
    <col min="16124" max="16124" width="9.140625" customWidth="1"/>
    <col min="16125" max="16125" width="14.85546875" customWidth="1"/>
    <col min="16126" max="16127" width="8.28515625" customWidth="1"/>
    <col min="16134" max="16134" width="2.140625" customWidth="1"/>
    <col min="16136" max="16136" width="10.140625" customWidth="1"/>
  </cols>
  <sheetData>
    <row r="1" spans="1:26" ht="57.75" customHeight="1" x14ac:dyDescent="0.35">
      <c r="A1" s="35"/>
      <c r="C1" s="34"/>
      <c r="D1" s="34"/>
      <c r="E1" s="33"/>
      <c r="F1" s="2"/>
      <c r="H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>
        <f>29*0.4</f>
        <v>11.600000000000001</v>
      </c>
      <c r="V1" s="1"/>
      <c r="W1" s="1"/>
      <c r="X1" s="1"/>
    </row>
    <row r="2" spans="1:26" ht="15.75" x14ac:dyDescent="0.25">
      <c r="A2" s="35"/>
      <c r="B2" s="32"/>
      <c r="C2" s="32"/>
      <c r="D2" s="32"/>
      <c r="E2" s="32"/>
      <c r="F2" s="31"/>
      <c r="G2" s="1"/>
      <c r="H2" s="1"/>
      <c r="J2" s="1"/>
      <c r="M2" s="1"/>
      <c r="O2" s="1"/>
    </row>
    <row r="3" spans="1:26" ht="25.5" customHeight="1" x14ac:dyDescent="0.35">
      <c r="F3" s="84" t="s">
        <v>10</v>
      </c>
      <c r="G3" s="85"/>
      <c r="H3" s="86"/>
      <c r="I3" s="39" t="s">
        <v>26</v>
      </c>
      <c r="J3" s="87" t="s">
        <v>11</v>
      </c>
      <c r="K3" s="88"/>
      <c r="L3" s="88"/>
      <c r="M3" s="89"/>
      <c r="O3" s="90">
        <f ca="1">NOW()</f>
        <v>44367.612993981478</v>
      </c>
      <c r="P3" s="91"/>
      <c r="Q3" s="92" t="s">
        <v>12</v>
      </c>
    </row>
    <row r="4" spans="1:26" s="5" customFormat="1" ht="31.5" x14ac:dyDescent="0.25">
      <c r="A4" s="3" t="s">
        <v>13</v>
      </c>
      <c r="B4" s="30" t="s">
        <v>14</v>
      </c>
      <c r="C4" s="4" t="s">
        <v>0</v>
      </c>
      <c r="D4" s="30" t="s">
        <v>5</v>
      </c>
      <c r="E4" s="3" t="s">
        <v>15</v>
      </c>
      <c r="F4" s="3" t="s">
        <v>1</v>
      </c>
      <c r="G4" s="3" t="s">
        <v>2</v>
      </c>
      <c r="H4" s="3" t="s">
        <v>154</v>
      </c>
      <c r="I4" s="40" t="s">
        <v>3</v>
      </c>
      <c r="J4" s="3" t="s">
        <v>16</v>
      </c>
      <c r="K4" s="3" t="s">
        <v>17</v>
      </c>
      <c r="L4" s="3" t="s">
        <v>18</v>
      </c>
      <c r="M4" s="3" t="s">
        <v>19</v>
      </c>
      <c r="N4"/>
      <c r="O4" s="3" t="s">
        <v>20</v>
      </c>
      <c r="P4" s="3" t="s">
        <v>21</v>
      </c>
      <c r="Q4" s="93"/>
      <c r="R4"/>
      <c r="S4" s="3" t="s">
        <v>22</v>
      </c>
      <c r="T4"/>
      <c r="U4" s="29" t="s">
        <v>23</v>
      </c>
      <c r="V4" s="37" t="s">
        <v>27</v>
      </c>
    </row>
    <row r="5" spans="1:26" ht="20.25" x14ac:dyDescent="0.25">
      <c r="A5" s="41"/>
      <c r="B5" s="119" t="s">
        <v>61</v>
      </c>
      <c r="C5" s="42"/>
      <c r="D5" s="69"/>
      <c r="E5" s="69"/>
      <c r="F5" s="69"/>
      <c r="G5" s="26"/>
      <c r="H5" s="70"/>
      <c r="I5" s="69"/>
      <c r="J5" s="69"/>
      <c r="K5" s="26"/>
      <c r="L5" s="26"/>
      <c r="M5" s="70"/>
      <c r="O5" s="71"/>
      <c r="P5" s="72"/>
      <c r="Q5" s="17" t="str">
        <f t="shared" ref="Q5:Q10" si="0">IFERROR(IF(OR(P5&gt;10,P5=0),"-",IF(AND((AVERAGE(F5:G5)/U5)&gt;0.55,L5=0),"Q","-")),0)</f>
        <v>-</v>
      </c>
      <c r="S5" s="23"/>
      <c r="Y5">
        <v>6</v>
      </c>
      <c r="Z5" s="5">
        <v>7</v>
      </c>
    </row>
    <row r="6" spans="1:26" s="5" customFormat="1" ht="19.5" customHeight="1" x14ac:dyDescent="0.2">
      <c r="A6" s="68">
        <v>2</v>
      </c>
      <c r="B6" s="66" t="s">
        <v>65</v>
      </c>
      <c r="C6" s="66" t="s">
        <v>66</v>
      </c>
      <c r="D6" s="66" t="s">
        <v>7</v>
      </c>
      <c r="E6" s="22"/>
      <c r="F6" s="36">
        <f>6+8+7+6+10+8+11+6+10+4*2+8+7+6+6.5+10+13</f>
        <v>130.5</v>
      </c>
      <c r="G6" s="36"/>
      <c r="H6" s="7">
        <f>IF(F6=0,0,((AVERAGE(F6:G6))/U6))</f>
        <v>0.52200000000000002</v>
      </c>
      <c r="I6" s="38">
        <f>SUM(100-(H6*100))*1.5</f>
        <v>71.699999999999989</v>
      </c>
      <c r="J6" s="21"/>
      <c r="K6" s="21"/>
      <c r="L6" s="21">
        <f>K6+J6</f>
        <v>0</v>
      </c>
      <c r="M6" s="20">
        <v>101</v>
      </c>
      <c r="O6" s="45">
        <f>I6+L6</f>
        <v>71.699999999999989</v>
      </c>
      <c r="P6" s="18">
        <v>1</v>
      </c>
      <c r="Q6" s="17" t="str">
        <f>IFERROR(IF(OR(P6&gt;10,P6=0),"-",IF(AND((AVERAGE(F6:G6)/U6)&gt;0.55,L6=0),"Q","-")),0)</f>
        <v>-</v>
      </c>
      <c r="S6" s="18">
        <f>IF(P6=0,,IF(P6&gt;10,,11-(P6)))</f>
        <v>10</v>
      </c>
      <c r="U6" s="16">
        <v>250</v>
      </c>
      <c r="V6" s="16"/>
    </row>
    <row r="7" spans="1:26" s="5" customFormat="1" ht="19.5" customHeight="1" x14ac:dyDescent="0.2">
      <c r="A7" s="68">
        <v>4</v>
      </c>
      <c r="B7" s="66" t="s">
        <v>69</v>
      </c>
      <c r="C7" s="66" t="s">
        <v>70</v>
      </c>
      <c r="D7" s="66" t="s">
        <v>71</v>
      </c>
      <c r="E7" s="22"/>
      <c r="F7" s="36">
        <f>6+14+4+5+10+11+12+6.5+11+4*2+10+5.5+6*2+10+12</f>
        <v>137</v>
      </c>
      <c r="G7" s="36"/>
      <c r="H7" s="7">
        <f>IF(F7=0,0,((AVERAGE(F7:G7))/U7))</f>
        <v>0.54800000000000004</v>
      </c>
      <c r="I7" s="38">
        <f>SUM(100-(H7*100))*1.5</f>
        <v>67.8</v>
      </c>
      <c r="J7" s="21">
        <v>8</v>
      </c>
      <c r="K7" s="21"/>
      <c r="L7" s="21">
        <f>K7+J7</f>
        <v>8</v>
      </c>
      <c r="M7" s="20">
        <v>90</v>
      </c>
      <c r="O7" s="45">
        <f>I7+L7</f>
        <v>75.8</v>
      </c>
      <c r="P7" s="18">
        <v>2</v>
      </c>
      <c r="Q7" s="17" t="str">
        <f>IFERROR(IF(OR(P7&gt;10,P7=0),"-",IF(AND((AVERAGE(F7:G7)/U7)&gt;0.55,L7=0),"Q","-")),0)</f>
        <v>-</v>
      </c>
      <c r="S7" s="18">
        <f>IF(P7=0,,IF(P7&gt;10,,11-(P7)))</f>
        <v>9</v>
      </c>
      <c r="U7" s="16">
        <v>250</v>
      </c>
      <c r="V7" s="16"/>
    </row>
    <row r="8" spans="1:26" s="5" customFormat="1" ht="19.5" customHeight="1" x14ac:dyDescent="0.2">
      <c r="A8" s="68">
        <v>1</v>
      </c>
      <c r="B8" s="66" t="s">
        <v>63</v>
      </c>
      <c r="C8" s="66" t="s">
        <v>64</v>
      </c>
      <c r="D8" s="66" t="s">
        <v>7</v>
      </c>
      <c r="E8" s="22">
        <v>9446</v>
      </c>
      <c r="F8" s="36">
        <f>5+12+6.5+4+12+14*2+6.5+12+7+8+14+5.5+6.5+6+13*2</f>
        <v>159</v>
      </c>
      <c r="G8" s="36"/>
      <c r="H8" s="7">
        <f>IF(F8=0,0,((AVERAGE(F8:G8))/U8))</f>
        <v>0.63600000000000001</v>
      </c>
      <c r="I8" s="38">
        <f>SUM(100-(H8*100))*1.5</f>
        <v>54.599999999999994</v>
      </c>
      <c r="J8" s="21" t="s">
        <v>25</v>
      </c>
      <c r="K8" s="21"/>
      <c r="L8" s="21" t="e">
        <f>K8+J8</f>
        <v>#VALUE!</v>
      </c>
      <c r="M8" s="20"/>
      <c r="O8" s="45" t="e">
        <f>I8+L8</f>
        <v>#VALUE!</v>
      </c>
      <c r="P8" s="18"/>
      <c r="Q8" s="17" t="str">
        <f>IFERROR(IF(OR(P8&gt;10,P8=0),"-",IF(AND((AVERAGE(F8:G8)/U8)&gt;0.55,L8=0),"Q","-")),0)</f>
        <v>-</v>
      </c>
      <c r="S8" s="18">
        <f>IF(P8=0,,IF(P8&gt;10,,11-(P8)))</f>
        <v>0</v>
      </c>
      <c r="U8" s="16">
        <v>250</v>
      </c>
      <c r="V8" s="16"/>
      <c r="Y8" s="5">
        <v>7</v>
      </c>
      <c r="Z8" s="5">
        <v>7</v>
      </c>
    </row>
    <row r="9" spans="1:26" s="5" customFormat="1" ht="19.5" customHeight="1" x14ac:dyDescent="0.2">
      <c r="A9" s="68">
        <v>3</v>
      </c>
      <c r="B9" s="66" t="s">
        <v>67</v>
      </c>
      <c r="C9" s="66" t="s">
        <v>68</v>
      </c>
      <c r="D9" s="66" t="s">
        <v>8</v>
      </c>
      <c r="E9" s="22"/>
      <c r="F9" s="36">
        <f>5+12+5.5+6.5+12+14+12+6+10+5*2+12+5.5+6.5*2+11+12</f>
        <v>146.5</v>
      </c>
      <c r="G9" s="36"/>
      <c r="H9" s="7">
        <f>IF(F9=0,0,((AVERAGE(F9:G9))/U9))</f>
        <v>0.58599999999999997</v>
      </c>
      <c r="I9" s="38">
        <f>SUM(100-(H9*100))*1.5</f>
        <v>62.100000000000009</v>
      </c>
      <c r="J9" s="21" t="s">
        <v>25</v>
      </c>
      <c r="K9" s="21"/>
      <c r="L9" s="21" t="e">
        <f>K9+J9</f>
        <v>#VALUE!</v>
      </c>
      <c r="M9" s="20"/>
      <c r="O9" s="45" t="e">
        <f>I9+L9</f>
        <v>#VALUE!</v>
      </c>
      <c r="P9" s="18"/>
      <c r="Q9" s="17" t="str">
        <f>IFERROR(IF(OR(P9&gt;10,P9=0),"-",IF(AND((AVERAGE(F9:G9)/U9)&gt;0.55,L9=0),"Q","-")),0)</f>
        <v>-</v>
      </c>
      <c r="S9" s="18">
        <f>IF(P9=0,,IF(P9&gt;10,,11-(P9)))</f>
        <v>0</v>
      </c>
      <c r="U9" s="16">
        <v>250</v>
      </c>
      <c r="V9" s="16"/>
    </row>
    <row r="10" spans="1:26" ht="20.25" x14ac:dyDescent="0.25">
      <c r="A10" s="41"/>
      <c r="B10" s="119" t="s">
        <v>62</v>
      </c>
      <c r="C10" s="67"/>
      <c r="D10" s="28"/>
      <c r="E10" s="28"/>
      <c r="F10" s="28"/>
      <c r="G10" s="26"/>
      <c r="H10" s="25"/>
      <c r="I10" s="28"/>
      <c r="J10" s="28"/>
      <c r="K10" s="26"/>
      <c r="L10" s="26"/>
      <c r="M10" s="25"/>
      <c r="O10" s="73"/>
      <c r="P10" s="74"/>
      <c r="Q10" s="17" t="str">
        <f t="shared" si="0"/>
        <v>-</v>
      </c>
      <c r="S10" s="23"/>
      <c r="Y10" s="5">
        <v>13</v>
      </c>
      <c r="Z10" s="5">
        <v>12</v>
      </c>
    </row>
    <row r="11" spans="1:26" s="5" customFormat="1" ht="19.5" customHeight="1" x14ac:dyDescent="0.2">
      <c r="A11" s="68">
        <v>5</v>
      </c>
      <c r="B11" s="120" t="s">
        <v>72</v>
      </c>
      <c r="C11" s="66" t="s">
        <v>73</v>
      </c>
      <c r="D11" s="66" t="s">
        <v>71</v>
      </c>
      <c r="E11" s="22">
        <v>1833</v>
      </c>
      <c r="F11" s="36">
        <f>6+8+13+7+7+16+14+16+7+13+6.5*2+14+13+8+6.5+7+14*2</f>
        <v>196.5</v>
      </c>
      <c r="G11" s="36"/>
      <c r="H11" s="7">
        <f>IF(F11=0,0,((AVERAGE(F11:G11))/U11))</f>
        <v>0.70178571428571423</v>
      </c>
      <c r="I11" s="38">
        <f>SUM(100-(H11*100))*1.5</f>
        <v>44.732142857142875</v>
      </c>
      <c r="J11" s="21"/>
      <c r="K11" s="21">
        <f>IF(($V11&gt;M11),0,((M11-V11)*0.4))</f>
        <v>0</v>
      </c>
      <c r="L11" s="21">
        <f>K11+J11</f>
        <v>0</v>
      </c>
      <c r="M11" s="20">
        <v>69.150000000000006</v>
      </c>
      <c r="O11" s="45">
        <f>I11+L11</f>
        <v>44.732142857142875</v>
      </c>
      <c r="P11" s="18">
        <v>1</v>
      </c>
      <c r="Q11" s="17" t="str">
        <f>IFERROR(IF(OR(P11&gt;10,P11=0),"-",IF(AND((AVERAGE(F11:G11)/U11)&gt;0.55,L11=0),"Q","-")),0)</f>
        <v>Q</v>
      </c>
      <c r="S11" s="18">
        <f>IF(P11=0,,IF(P11&gt;10,,11-(P11)))</f>
        <v>10</v>
      </c>
      <c r="U11" s="16">
        <v>280</v>
      </c>
      <c r="V11" s="16">
        <v>76</v>
      </c>
      <c r="Y11" s="5">
        <v>6.5</v>
      </c>
      <c r="Z11" s="5">
        <v>11</v>
      </c>
    </row>
    <row r="12" spans="1:26" s="5" customFormat="1" ht="19.5" customHeight="1" x14ac:dyDescent="0.2">
      <c r="A12" s="68">
        <v>6</v>
      </c>
      <c r="B12" s="120" t="s">
        <v>74</v>
      </c>
      <c r="C12" s="66" t="s">
        <v>75</v>
      </c>
      <c r="D12" s="66" t="s">
        <v>9</v>
      </c>
      <c r="E12" s="22">
        <v>5796</v>
      </c>
      <c r="F12" s="36">
        <f>6+7+10+7+8+12+14+12+6+10+7*2+13+11+6+6.5*2+14+13</f>
        <v>176</v>
      </c>
      <c r="G12" s="36"/>
      <c r="H12" s="7">
        <f>IF(F12=0,0,((AVERAGE(F12:G12))/U12))</f>
        <v>0.62857142857142856</v>
      </c>
      <c r="I12" s="38">
        <f>SUM(100-(H12*100))*1.5</f>
        <v>55.714285714285722</v>
      </c>
      <c r="J12" s="21"/>
      <c r="K12" s="21">
        <f>IF(($V12&gt;M12),0,((M12-V12)*0.4))</f>
        <v>0</v>
      </c>
      <c r="L12" s="21">
        <f>K12+J12</f>
        <v>0</v>
      </c>
      <c r="M12" s="20">
        <v>67.319999999999993</v>
      </c>
      <c r="O12" s="45">
        <f>I12+L12</f>
        <v>55.714285714285722</v>
      </c>
      <c r="P12" s="18">
        <v>2</v>
      </c>
      <c r="Q12" s="17" t="str">
        <f>IFERROR(IF(OR(P12&gt;10,P12=0),"-",IF(AND((AVERAGE(F12:G12)/U12)&gt;0.55,L12=0),"Q","-")),0)</f>
        <v>Q</v>
      </c>
      <c r="S12" s="18">
        <f>IF(P12=0,,IF(P12&gt;10,,11-(P12)))</f>
        <v>9</v>
      </c>
      <c r="U12" s="16">
        <v>280</v>
      </c>
      <c r="V12" s="16">
        <v>76</v>
      </c>
      <c r="Y12" s="5">
        <v>6.5</v>
      </c>
      <c r="Z12" s="5">
        <v>11</v>
      </c>
    </row>
    <row r="13" spans="1:26" s="5" customFormat="1" ht="19.5" customHeight="1" x14ac:dyDescent="0.2">
      <c r="A13" s="68">
        <v>7</v>
      </c>
      <c r="B13" s="120" t="s">
        <v>55</v>
      </c>
      <c r="C13" s="66" t="s">
        <v>51</v>
      </c>
      <c r="D13" s="66" t="s">
        <v>6</v>
      </c>
      <c r="E13" s="22">
        <v>5842</v>
      </c>
      <c r="F13" s="36">
        <f>5.5+6.5+11+6+6.5+12*3+6.5+10+5.5+6+12+13+6+6*2+13+12</f>
        <v>167.5</v>
      </c>
      <c r="G13" s="36"/>
      <c r="H13" s="7">
        <f>IF(F13=0,0,((AVERAGE(F13:G13))/U13))</f>
        <v>0.5982142857142857</v>
      </c>
      <c r="I13" s="38">
        <f>SUM(100-(H13*100))*1.5</f>
        <v>60.267857142857146</v>
      </c>
      <c r="J13" s="21" t="s">
        <v>25</v>
      </c>
      <c r="K13" s="21">
        <v>0</v>
      </c>
      <c r="L13" s="21" t="e">
        <f>K13+J13</f>
        <v>#VALUE!</v>
      </c>
      <c r="M13" s="20"/>
      <c r="O13" s="45" t="e">
        <f>I13+L13</f>
        <v>#VALUE!</v>
      </c>
      <c r="P13" s="18"/>
      <c r="Q13" s="17" t="str">
        <f>IFERROR(IF(OR(P13&gt;10,P13=0),"-",IF(AND((AVERAGE(F13:G13)/U13)&gt;0.55,L13=0),"Q","-")),0)</f>
        <v>-</v>
      </c>
      <c r="S13" s="18">
        <f>IF(P13=0,,IF(P13&gt;10,,11-(P13)))</f>
        <v>0</v>
      </c>
      <c r="U13" s="16">
        <v>280</v>
      </c>
      <c r="V13" s="16">
        <v>76</v>
      </c>
      <c r="Y13" s="5">
        <v>6.5</v>
      </c>
      <c r="Z13" s="5">
        <v>11</v>
      </c>
    </row>
    <row r="14" spans="1:26" ht="20.25" x14ac:dyDescent="0.25">
      <c r="A14" s="41"/>
      <c r="B14" s="119" t="s">
        <v>81</v>
      </c>
      <c r="C14" s="67"/>
      <c r="D14" s="69"/>
      <c r="E14" s="69"/>
      <c r="F14" s="69"/>
      <c r="G14" s="26"/>
      <c r="H14" s="70"/>
      <c r="I14" s="69"/>
      <c r="J14" s="69"/>
      <c r="K14" s="26"/>
      <c r="L14" s="26"/>
      <c r="M14" s="70"/>
      <c r="O14" s="73"/>
      <c r="P14" s="74"/>
      <c r="Q14" s="24"/>
      <c r="S14" s="23"/>
      <c r="Y14" s="5">
        <v>13</v>
      </c>
      <c r="Z14" s="5">
        <v>12</v>
      </c>
    </row>
    <row r="15" spans="1:26" s="5" customFormat="1" ht="19.5" customHeight="1" x14ac:dyDescent="0.2">
      <c r="A15" s="68">
        <v>10</v>
      </c>
      <c r="B15" s="120" t="s">
        <v>54</v>
      </c>
      <c r="C15" s="66" t="s">
        <v>78</v>
      </c>
      <c r="D15" s="120" t="s">
        <v>9</v>
      </c>
      <c r="E15" s="22">
        <v>13477</v>
      </c>
      <c r="F15" s="36">
        <f>7*2+16+6.5+7+13*2+12+6.5+14+6+8+12+11+6+6.5+7+13*2</f>
        <v>184.5</v>
      </c>
      <c r="G15" s="36"/>
      <c r="H15" s="7">
        <f>IF(F15=0,0,((AVERAGE(F15:G15))/U15))</f>
        <v>0.65892857142857142</v>
      </c>
      <c r="I15" s="38">
        <f>SUM(100-(H15*100))*1.5</f>
        <v>51.160714285714292</v>
      </c>
      <c r="J15" s="21"/>
      <c r="K15" s="21">
        <v>0</v>
      </c>
      <c r="L15" s="21">
        <f>K15+J15</f>
        <v>0</v>
      </c>
      <c r="M15" s="20">
        <v>66.47</v>
      </c>
      <c r="O15" s="45">
        <f>I15+L15</f>
        <v>51.160714285714292</v>
      </c>
      <c r="P15" s="18">
        <v>1</v>
      </c>
      <c r="Q15" s="17" t="str">
        <f>IFERROR(IF(OR(P15&gt;10,P15=0),"-",IF(AND((AVERAGE(F15:G15)/U15)&gt;0.55,L15=0),"Q","-")),0)</f>
        <v>Q</v>
      </c>
      <c r="S15" s="18">
        <f>IF(P15=0,,IF(P15&gt;10,,11-(P15)))</f>
        <v>10</v>
      </c>
      <c r="U15" s="16">
        <v>280</v>
      </c>
      <c r="V15" s="16">
        <v>76</v>
      </c>
    </row>
    <row r="16" spans="1:26" s="5" customFormat="1" ht="19.5" customHeight="1" x14ac:dyDescent="0.2">
      <c r="A16" s="68">
        <v>9</v>
      </c>
      <c r="B16" s="120" t="s">
        <v>76</v>
      </c>
      <c r="C16" s="66" t="s">
        <v>77</v>
      </c>
      <c r="D16" s="120" t="s">
        <v>53</v>
      </c>
      <c r="E16" s="22">
        <v>10013</v>
      </c>
      <c r="F16" s="36">
        <f>6+7+11+6+6.5+12+13+12+6+11+5+5.5+10+11+8+6*2+12+13</f>
        <v>167</v>
      </c>
      <c r="G16" s="36"/>
      <c r="H16" s="7">
        <f>IF(F16=0,0,((AVERAGE(F16:G16))/U16))</f>
        <v>0.59642857142857142</v>
      </c>
      <c r="I16" s="38">
        <f>SUM(100-(H16*100))*1.5</f>
        <v>60.535714285714292</v>
      </c>
      <c r="J16" s="21"/>
      <c r="K16" s="21">
        <f>IF(($V16&gt;M16),0,((M16-V16)*0.4))</f>
        <v>0</v>
      </c>
      <c r="L16" s="21">
        <f>K16+J16</f>
        <v>0</v>
      </c>
      <c r="M16" s="20">
        <v>62</v>
      </c>
      <c r="O16" s="45">
        <f>I16+L16</f>
        <v>60.535714285714292</v>
      </c>
      <c r="P16" s="18">
        <v>2</v>
      </c>
      <c r="Q16" s="17" t="str">
        <f>IFERROR(IF(OR(P16&gt;10,P16=0),"-",IF(AND((AVERAGE(F16:G16)/U16)&gt;0.55,L16=0),"Q","-")),0)</f>
        <v>Q</v>
      </c>
      <c r="S16" s="18">
        <f>IF(P16=0,,IF(P16&gt;10,,11-(P16)))</f>
        <v>9</v>
      </c>
      <c r="U16" s="16">
        <v>280</v>
      </c>
      <c r="V16" s="16">
        <v>76</v>
      </c>
      <c r="Y16" s="5">
        <v>6.5</v>
      </c>
      <c r="Z16" s="5">
        <v>11</v>
      </c>
    </row>
    <row r="17" spans="1:26" s="5" customFormat="1" ht="19.5" customHeight="1" x14ac:dyDescent="0.2">
      <c r="A17" s="68">
        <v>11</v>
      </c>
      <c r="B17" s="120" t="s">
        <v>79</v>
      </c>
      <c r="C17" s="66" t="s">
        <v>80</v>
      </c>
      <c r="D17" s="120" t="s">
        <v>6</v>
      </c>
      <c r="E17" s="10">
        <v>20544</v>
      </c>
      <c r="F17" s="36">
        <f>5.5+6+12+6*2+12*3+6+12+5.5+6+12*2+6*3+12*2</f>
        <v>167</v>
      </c>
      <c r="G17" s="36"/>
      <c r="H17" s="7">
        <f>IF(F17=0,0,((AVERAGE(F17:G17))/U17))</f>
        <v>0.59642857142857142</v>
      </c>
      <c r="I17" s="38">
        <f>SUM(100-(H17*100))*1.5</f>
        <v>60.535714285714292</v>
      </c>
      <c r="J17" s="21"/>
      <c r="K17" s="21">
        <v>0</v>
      </c>
      <c r="L17" s="21">
        <f>K17+J17</f>
        <v>0</v>
      </c>
      <c r="M17" s="20">
        <v>59.67</v>
      </c>
      <c r="O17" s="45">
        <f>I17+L17</f>
        <v>60.535714285714292</v>
      </c>
      <c r="P17" s="18">
        <v>3</v>
      </c>
      <c r="Q17" s="17" t="str">
        <f>IFERROR(IF(OR(P17&gt;10,P17=0),"-",IF(AND((AVERAGE(F17:G17)/U17)&gt;0.55,L17=0),"Q","-")),0)</f>
        <v>Q</v>
      </c>
      <c r="S17" s="18">
        <f>IF(P17=0,,IF(P17&gt;10,,11-(P17)))</f>
        <v>8</v>
      </c>
      <c r="U17" s="16">
        <v>280</v>
      </c>
      <c r="V17" s="16">
        <v>76</v>
      </c>
    </row>
    <row r="18" spans="1:26" s="5" customFormat="1" ht="19.5" customHeight="1" x14ac:dyDescent="0.25">
      <c r="A18" s="44"/>
      <c r="B18" s="119" t="s">
        <v>82</v>
      </c>
      <c r="C18" s="42"/>
      <c r="D18" s="27"/>
      <c r="E18" s="27"/>
      <c r="F18" s="28"/>
      <c r="G18" s="26"/>
      <c r="H18" s="25"/>
      <c r="I18" s="28"/>
      <c r="J18" s="28"/>
      <c r="K18" s="26"/>
      <c r="L18" s="26"/>
      <c r="M18" s="25"/>
      <c r="N18"/>
      <c r="O18" s="71"/>
      <c r="P18" s="72"/>
      <c r="Q18" s="24"/>
      <c r="R18"/>
      <c r="S18" s="23"/>
      <c r="T18"/>
      <c r="U18"/>
      <c r="V18" s="16"/>
    </row>
    <row r="19" spans="1:26" s="5" customFormat="1" ht="19.5" customHeight="1" x14ac:dyDescent="0.2">
      <c r="A19" s="68">
        <v>13</v>
      </c>
      <c r="B19" s="66" t="s">
        <v>85</v>
      </c>
      <c r="C19" s="66" t="s">
        <v>86</v>
      </c>
      <c r="D19" s="66" t="s">
        <v>9</v>
      </c>
      <c r="E19" s="22">
        <v>1650</v>
      </c>
      <c r="F19" s="36">
        <f>6*2+10+6.5+6+12+13*2+6+11+6*2+10*2+6+6+5.5+12*2</f>
        <v>163</v>
      </c>
      <c r="G19" s="36"/>
      <c r="H19" s="7">
        <f>IF(F19=0,0,((AVERAGE(F19:G19))/U19))</f>
        <v>0.58214285714285718</v>
      </c>
      <c r="I19" s="38">
        <f>SUM(100-(H19*100))*1.5</f>
        <v>62.678571428571431</v>
      </c>
      <c r="J19" s="21"/>
      <c r="K19" s="21">
        <v>0</v>
      </c>
      <c r="L19" s="21">
        <f>K19+J19</f>
        <v>0</v>
      </c>
      <c r="M19" s="20">
        <v>69.47</v>
      </c>
      <c r="O19" s="45">
        <f>I19+L19</f>
        <v>62.678571428571431</v>
      </c>
      <c r="P19" s="18">
        <v>1</v>
      </c>
      <c r="Q19" s="17" t="str">
        <f>IFERROR(IF(OR(P19&gt;10,P19=0),"-",IF(AND((AVERAGE(F19:G19)/U19)&gt;0.55,L19=0),"Q","-")),0)</f>
        <v>Q</v>
      </c>
      <c r="S19" s="18">
        <f>IF(P19=0,,IF(P19&gt;10,,11-(P19)))</f>
        <v>10</v>
      </c>
      <c r="U19" s="16">
        <v>280</v>
      </c>
      <c r="V19" s="16">
        <v>71</v>
      </c>
    </row>
    <row r="20" spans="1:26" s="5" customFormat="1" ht="19.5" customHeight="1" x14ac:dyDescent="0.2">
      <c r="A20" s="68">
        <v>14</v>
      </c>
      <c r="B20" s="66" t="s">
        <v>54</v>
      </c>
      <c r="C20" s="66" t="s">
        <v>87</v>
      </c>
      <c r="D20" s="66" t="s">
        <v>9</v>
      </c>
      <c r="E20" s="22">
        <v>1362</v>
      </c>
      <c r="F20" s="36">
        <f>6+7+14+6+7+10+12*2+6+13+5.5+6+12+10+5.5+6.5+6+12*2</f>
        <v>168.5</v>
      </c>
      <c r="G20" s="36"/>
      <c r="H20" s="7">
        <f>IF(F20=0,0,((AVERAGE(F20:G20))/U20))</f>
        <v>0.60178571428571426</v>
      </c>
      <c r="I20" s="38">
        <f>SUM(100-(H20*100))*1.5</f>
        <v>59.732142857142861</v>
      </c>
      <c r="J20" s="21">
        <v>4</v>
      </c>
      <c r="K20" s="21">
        <v>0</v>
      </c>
      <c r="L20" s="21">
        <f>K20+J20</f>
        <v>4</v>
      </c>
      <c r="M20" s="20">
        <v>61</v>
      </c>
      <c r="O20" s="45">
        <f>I20+L20</f>
        <v>63.732142857142861</v>
      </c>
      <c r="P20" s="18">
        <v>2</v>
      </c>
      <c r="Q20" s="17" t="str">
        <f>IFERROR(IF(OR(P20&gt;10,P20=0),"-",IF(AND((AVERAGE(F20:G20)/U20)&gt;0.55,L20=0),"Q","-")),0)</f>
        <v>-</v>
      </c>
      <c r="S20" s="18">
        <f>IF(P20=0,,IF(P20&gt;10,,11-(P20)))</f>
        <v>9</v>
      </c>
      <c r="U20" s="16">
        <v>280</v>
      </c>
      <c r="V20" s="16">
        <v>71</v>
      </c>
    </row>
    <row r="21" spans="1:26" s="5" customFormat="1" ht="19.5" customHeight="1" x14ac:dyDescent="0.2">
      <c r="A21" s="68">
        <v>12</v>
      </c>
      <c r="B21" s="66" t="s">
        <v>83</v>
      </c>
      <c r="C21" s="66" t="s">
        <v>158</v>
      </c>
      <c r="D21" s="66" t="s">
        <v>9</v>
      </c>
      <c r="E21" s="22">
        <v>13456</v>
      </c>
      <c r="F21" s="36">
        <f>6+7+13+6+4+14+8+12+6+12+6+6.5+13+12+6*3+12+13-2</f>
        <v>166.5</v>
      </c>
      <c r="G21" s="36"/>
      <c r="H21" s="7">
        <f>IF(F21=0,0,((AVERAGE(F21:G21))/U21))</f>
        <v>0.59464285714285714</v>
      </c>
      <c r="I21" s="38">
        <f>SUM(100-(H21*100))*1.5</f>
        <v>60.803571428571431</v>
      </c>
      <c r="J21" s="21" t="s">
        <v>25</v>
      </c>
      <c r="K21" s="21">
        <v>0</v>
      </c>
      <c r="L21" s="21" t="e">
        <f>K21+J21</f>
        <v>#VALUE!</v>
      </c>
      <c r="M21" s="20"/>
      <c r="O21" s="45" t="e">
        <f>I21+L21</f>
        <v>#VALUE!</v>
      </c>
      <c r="P21" s="18"/>
      <c r="Q21" s="17" t="str">
        <f>IFERROR(IF(OR(P21&gt;10,P21=0),"-",IF(AND((AVERAGE(F21:G21)/U21)&gt;0.55,L21=0),"Q","-")),0)</f>
        <v>-</v>
      </c>
      <c r="S21" s="18">
        <f>IF(P21=0,,IF(P21&gt;10,,11-(P21)))</f>
        <v>0</v>
      </c>
      <c r="U21" s="16">
        <v>280</v>
      </c>
      <c r="V21" s="16">
        <v>71</v>
      </c>
    </row>
    <row r="22" spans="1:26" ht="20.25" x14ac:dyDescent="0.25">
      <c r="A22" s="41"/>
      <c r="B22" s="119" t="s">
        <v>88</v>
      </c>
      <c r="C22" s="67"/>
      <c r="D22" s="28"/>
      <c r="E22" s="28"/>
      <c r="F22" s="28"/>
      <c r="G22" s="26"/>
      <c r="H22" s="25"/>
      <c r="I22" s="28"/>
      <c r="J22" s="28"/>
      <c r="K22" s="26"/>
      <c r="L22" s="26"/>
      <c r="M22" s="25"/>
      <c r="O22" s="71"/>
      <c r="P22" s="72"/>
      <c r="Q22" s="23"/>
      <c r="S22" s="23"/>
      <c r="Y22" s="5">
        <v>14</v>
      </c>
      <c r="Z22" s="5">
        <v>12</v>
      </c>
    </row>
    <row r="23" spans="1:26" s="5" customFormat="1" ht="19.5" customHeight="1" x14ac:dyDescent="0.2">
      <c r="A23" s="68">
        <v>17</v>
      </c>
      <c r="B23" s="66" t="s">
        <v>93</v>
      </c>
      <c r="C23" s="66" t="s">
        <v>94</v>
      </c>
      <c r="D23" s="66" t="s">
        <v>9</v>
      </c>
      <c r="E23" s="22">
        <v>1145</v>
      </c>
      <c r="F23" s="36">
        <f>6+7+12+6.5+6+12+13+16+7+13+6+6.5+12*2+6.5*3+13*2</f>
        <v>180.5</v>
      </c>
      <c r="G23" s="36"/>
      <c r="H23" s="7">
        <f>IF(F23=0,0,((AVERAGE(F23:G23))/U23))</f>
        <v>0.64464285714285718</v>
      </c>
      <c r="I23" s="38">
        <f>SUM(100-(H23*100))*1.5</f>
        <v>53.303571428571416</v>
      </c>
      <c r="J23" s="21"/>
      <c r="K23" s="21">
        <f>IF(($V23&gt;M23),0,((M23-V23)*0.4))</f>
        <v>0</v>
      </c>
      <c r="L23" s="21">
        <f>K23+J23</f>
        <v>0</v>
      </c>
      <c r="M23" s="20">
        <v>64.47</v>
      </c>
      <c r="O23" s="45">
        <f>I23+L23</f>
        <v>53.303571428571416</v>
      </c>
      <c r="P23" s="18">
        <v>1</v>
      </c>
      <c r="Q23" s="17" t="str">
        <f>IFERROR(IF(OR(P23&gt;10,P23=0),"-",IF(AND((AVERAGE(F23:G23)/U23)&gt;0.55,L23=0),"Q","-")),0)</f>
        <v>Q</v>
      </c>
      <c r="S23" s="18">
        <f>IF(P23=0,,IF(P23&gt;10,,11-(P23)))</f>
        <v>10</v>
      </c>
      <c r="U23" s="16">
        <v>280</v>
      </c>
      <c r="V23" s="16">
        <v>68</v>
      </c>
    </row>
    <row r="24" spans="1:26" s="5" customFormat="1" ht="19.5" customHeight="1" x14ac:dyDescent="0.2">
      <c r="A24" s="68">
        <v>15</v>
      </c>
      <c r="B24" s="66" t="s">
        <v>89</v>
      </c>
      <c r="C24" s="66" t="s">
        <v>90</v>
      </c>
      <c r="D24" s="66" t="s">
        <v>24</v>
      </c>
      <c r="E24" s="22">
        <v>15066</v>
      </c>
      <c r="F24" s="36">
        <f>6+6.5+11+6.5+6+14*2+12+6.5+12+6+6.5+11+12+8+6+6.5+13*2</f>
        <v>176.5</v>
      </c>
      <c r="G24" s="36"/>
      <c r="H24" s="7">
        <f>IF(F24=0,0,((AVERAGE(F24:G24))/U24))</f>
        <v>0.63035714285714284</v>
      </c>
      <c r="I24" s="38">
        <f>SUM(100-(H24*100))*1.5</f>
        <v>55.446428571428569</v>
      </c>
      <c r="J24" s="21">
        <v>4</v>
      </c>
      <c r="K24" s="21">
        <f>IF(($V24&gt;M24),0,((M24-V24)*0.4))</f>
        <v>0</v>
      </c>
      <c r="L24" s="21">
        <f>K24+J24</f>
        <v>4</v>
      </c>
      <c r="M24" s="20">
        <v>66.06</v>
      </c>
      <c r="O24" s="45">
        <f>I24+L24</f>
        <v>59.446428571428569</v>
      </c>
      <c r="P24" s="18">
        <v>2</v>
      </c>
      <c r="Q24" s="17" t="str">
        <f>IFERROR(IF(OR(P24&gt;10,P24=0),"-",IF(AND((AVERAGE(F24:G24)/U24)&gt;0.55,L24=0),"Q","-")),0)</f>
        <v>-</v>
      </c>
      <c r="S24" s="18">
        <f>IF(P24=0,,IF(P24&gt;10,,11-(P24)))</f>
        <v>9</v>
      </c>
      <c r="U24" s="16">
        <v>280</v>
      </c>
      <c r="V24" s="16">
        <v>68</v>
      </c>
    </row>
    <row r="25" spans="1:26" s="5" customFormat="1" ht="19.5" customHeight="1" x14ac:dyDescent="0.2">
      <c r="A25" s="68">
        <v>18</v>
      </c>
      <c r="B25" s="66" t="s">
        <v>159</v>
      </c>
      <c r="C25" s="66" t="s">
        <v>95</v>
      </c>
      <c r="D25" s="66" t="s">
        <v>9</v>
      </c>
      <c r="E25" s="22"/>
      <c r="F25" s="36">
        <f>6+7+13+6*2+12+14*2+6.5+14+5.5+6+13+16+8+6.5*2+12+13</f>
        <v>185</v>
      </c>
      <c r="G25" s="36"/>
      <c r="H25" s="7">
        <f>IF(F25=0,0,((AVERAGE(F25:G25))/U25))</f>
        <v>0.6607142857142857</v>
      </c>
      <c r="I25" s="38">
        <f>SUM(100-(H25*100))*1.5</f>
        <v>50.892857142857146</v>
      </c>
      <c r="J25" s="21">
        <v>8</v>
      </c>
      <c r="K25" s="21">
        <v>4</v>
      </c>
      <c r="L25" s="21">
        <f>K25+J25</f>
        <v>12</v>
      </c>
      <c r="M25" s="20">
        <v>81.93</v>
      </c>
      <c r="O25" s="45">
        <f>I25+L25</f>
        <v>62.892857142857146</v>
      </c>
      <c r="P25" s="18">
        <v>3</v>
      </c>
      <c r="Q25" s="17" t="str">
        <f>IFERROR(IF(OR(P25&gt;10,P25=0),"-",IF(AND((AVERAGE(F25:G25)/U25)&gt;0.55,L25=0),"Q","-")),0)</f>
        <v>-</v>
      </c>
      <c r="S25" s="18">
        <f>IF(P25=0,,IF(P25&gt;10,,11-(P25)))</f>
        <v>8</v>
      </c>
      <c r="U25" s="16">
        <v>280</v>
      </c>
      <c r="V25" s="16">
        <v>68</v>
      </c>
    </row>
    <row r="26" spans="1:26" s="5" customFormat="1" ht="19.5" customHeight="1" x14ac:dyDescent="0.2">
      <c r="A26" s="68">
        <v>16</v>
      </c>
      <c r="B26" s="66" t="s">
        <v>91</v>
      </c>
      <c r="C26" s="66" t="s">
        <v>92</v>
      </c>
      <c r="D26" s="66" t="s">
        <v>24</v>
      </c>
      <c r="E26" s="22">
        <v>14780</v>
      </c>
      <c r="F26" s="36">
        <f>6+7+12+6+5.5+12+13+12+6.5+12+6.5+6+12+11+6*3+12+13</f>
        <v>170.5</v>
      </c>
      <c r="G26" s="36"/>
      <c r="H26" s="7">
        <f>IF(F26=0,0,((AVERAGE(F26:G26))/U26))</f>
        <v>0.60892857142857137</v>
      </c>
      <c r="I26" s="38">
        <f>SUM(100-(H26*100))*1.5</f>
        <v>58.660714285714292</v>
      </c>
      <c r="J26" s="21">
        <v>8</v>
      </c>
      <c r="K26" s="21">
        <f>IF(($V26&gt;M26),0,((M26-V26)*0.4))</f>
        <v>0</v>
      </c>
      <c r="L26" s="21">
        <f>K26+J26</f>
        <v>8</v>
      </c>
      <c r="M26" s="20">
        <v>67.81</v>
      </c>
      <c r="O26" s="45">
        <f>I26+L26</f>
        <v>66.660714285714292</v>
      </c>
      <c r="P26" s="18">
        <v>4</v>
      </c>
      <c r="Q26" s="17" t="str">
        <f>IFERROR(IF(OR(P26&gt;10,P26=0),"-",IF(AND((AVERAGE(F26:G26)/U26)&gt;0.55,L26=0),"Q","-")),0)</f>
        <v>-</v>
      </c>
      <c r="S26" s="18">
        <f>IF(P26=0,,IF(P26&gt;10,,11-(P26)))</f>
        <v>7</v>
      </c>
      <c r="U26" s="16">
        <v>280</v>
      </c>
      <c r="V26" s="16">
        <v>68</v>
      </c>
    </row>
    <row r="27" spans="1:26" ht="20.25" x14ac:dyDescent="0.25">
      <c r="A27" s="41"/>
      <c r="B27" s="119" t="s">
        <v>96</v>
      </c>
      <c r="C27" s="67"/>
      <c r="D27" s="27"/>
      <c r="E27" s="27"/>
      <c r="F27" s="28"/>
      <c r="G27" s="26"/>
      <c r="H27" s="25"/>
      <c r="I27" s="28"/>
      <c r="J27" s="28"/>
      <c r="K27" s="26"/>
      <c r="L27" s="26"/>
      <c r="M27" s="25"/>
      <c r="O27" s="71"/>
      <c r="P27" s="72"/>
      <c r="Q27" s="24"/>
      <c r="S27" s="23"/>
    </row>
    <row r="28" spans="1:26" s="5" customFormat="1" ht="19.5" customHeight="1" x14ac:dyDescent="0.2">
      <c r="A28" s="68">
        <v>20</v>
      </c>
      <c r="B28" s="66" t="s">
        <v>97</v>
      </c>
      <c r="C28" s="66" t="s">
        <v>98</v>
      </c>
      <c r="D28" s="66"/>
      <c r="E28" s="22">
        <v>20309</v>
      </c>
      <c r="F28" s="36">
        <f>6.5*2+11+6.5+11+7+10+13*2+6+14+6+6.5*2+1+14+7+6.5+6*3+7+6.5*2+13*2</f>
        <v>216</v>
      </c>
      <c r="G28" s="36"/>
      <c r="H28" s="7">
        <f>IF(F28=0,0,((AVERAGE(F28:G28))/U28))</f>
        <v>0.6171428571428571</v>
      </c>
      <c r="I28" s="38">
        <f>SUM(100-(H28*100))*1.5</f>
        <v>57.428571428571438</v>
      </c>
      <c r="J28" s="21">
        <v>4</v>
      </c>
      <c r="K28" s="21">
        <v>2</v>
      </c>
      <c r="L28" s="21">
        <f t="shared" ref="L28" si="1">K28+J28</f>
        <v>6</v>
      </c>
      <c r="M28" s="20">
        <v>74.180000000000007</v>
      </c>
      <c r="O28" s="45">
        <f>I28+L28</f>
        <v>63.428571428571438</v>
      </c>
      <c r="P28" s="18">
        <v>1</v>
      </c>
      <c r="Q28" s="17" t="str">
        <f>IFERROR(IF(OR(P28&gt;10,P28=0),"-",IF(AND((AVERAGE(F28:G28)/U28)&gt;0.55,L28=0),"Q","-")),0)</f>
        <v>-</v>
      </c>
      <c r="S28" s="18">
        <f>IF(P28=0,,IF(P28&gt;10,,11-(P28)))</f>
        <v>10</v>
      </c>
      <c r="U28" s="16">
        <v>350</v>
      </c>
      <c r="V28" s="16">
        <v>68</v>
      </c>
    </row>
    <row r="29" spans="1:26" s="5" customFormat="1" ht="19.5" customHeight="1" x14ac:dyDescent="0.25">
      <c r="A29" s="125" t="s">
        <v>140</v>
      </c>
      <c r="B29" s="119" t="s">
        <v>156</v>
      </c>
      <c r="C29" s="127"/>
      <c r="D29" s="127"/>
      <c r="E29" s="10"/>
      <c r="F29" s="115"/>
      <c r="G29" s="116"/>
      <c r="H29" s="14"/>
      <c r="I29" s="38"/>
      <c r="J29" s="15"/>
      <c r="K29" s="117"/>
      <c r="L29" s="117"/>
      <c r="M29" s="13"/>
      <c r="O29" s="118"/>
      <c r="P29" s="11"/>
      <c r="Q29" s="17"/>
      <c r="S29" s="18"/>
      <c r="U29" s="16"/>
      <c r="V29" s="16"/>
    </row>
    <row r="30" spans="1:26" s="5" customFormat="1" ht="19.5" customHeight="1" x14ac:dyDescent="0.2">
      <c r="A30" s="68">
        <v>21</v>
      </c>
      <c r="B30" s="66" t="s">
        <v>157</v>
      </c>
      <c r="C30" s="66" t="s">
        <v>50</v>
      </c>
      <c r="D30" s="66" t="s">
        <v>8</v>
      </c>
      <c r="E30" s="10"/>
      <c r="F30" s="36">
        <f>6.5+7+14+6+7+6+6.5+14+6*2+7+10+11+13+6.5+13+5.5+6*2+6.5+11+5.5+6*2+10+5+7+6.5*2+12+13</f>
        <v>252</v>
      </c>
      <c r="G30" s="36"/>
      <c r="H30" s="7">
        <f>IF(F30=0,0,((AVERAGE(F30:G30))/U30))</f>
        <v>0.61463414634146341</v>
      </c>
      <c r="I30" s="38">
        <f>SUM(100-(H30*100))*1.5</f>
        <v>57.804878048780495</v>
      </c>
      <c r="J30" s="21"/>
      <c r="K30" s="21">
        <v>2</v>
      </c>
      <c r="L30" s="21">
        <f t="shared" ref="L30" si="2">K30+J30</f>
        <v>2</v>
      </c>
      <c r="M30" s="20">
        <v>72.78</v>
      </c>
      <c r="O30" s="45">
        <f>I30+L30</f>
        <v>59.804878048780495</v>
      </c>
      <c r="P30" s="18">
        <v>1</v>
      </c>
      <c r="Q30" s="17">
        <v>0</v>
      </c>
      <c r="S30" s="18">
        <f>IF(P30=0,,IF(P30&gt;10,,11-(P30)))</f>
        <v>10</v>
      </c>
      <c r="U30" s="16">
        <v>410</v>
      </c>
      <c r="V30" s="16">
        <v>68</v>
      </c>
    </row>
    <row r="31" spans="1:26" s="5" customFormat="1" ht="19.5" customHeight="1" x14ac:dyDescent="0.25">
      <c r="A31" s="44"/>
      <c r="B31" s="119" t="s">
        <v>60</v>
      </c>
      <c r="C31" s="42"/>
      <c r="D31" s="27"/>
      <c r="E31" s="27"/>
      <c r="F31" s="28"/>
      <c r="G31" s="26"/>
      <c r="H31" s="25"/>
      <c r="I31" s="28"/>
      <c r="J31" s="28"/>
      <c r="K31" s="26"/>
      <c r="L31" s="26"/>
      <c r="M31" s="25"/>
      <c r="N31"/>
      <c r="O31" s="71"/>
      <c r="P31" s="72"/>
      <c r="Q31" s="24"/>
      <c r="R31"/>
      <c r="S31" s="23"/>
      <c r="T31"/>
      <c r="U31"/>
      <c r="V31" s="16"/>
    </row>
    <row r="32" spans="1:26" s="5" customFormat="1" ht="19.5" customHeight="1" x14ac:dyDescent="0.2">
      <c r="A32" s="68">
        <v>27</v>
      </c>
      <c r="B32" s="66" t="s">
        <v>99</v>
      </c>
      <c r="C32" s="66" t="s">
        <v>100</v>
      </c>
      <c r="D32" s="66" t="s">
        <v>8</v>
      </c>
      <c r="E32" s="10"/>
      <c r="F32" s="36">
        <f>5.5+5+8+7+5+6+6+5.5+6+7+6+6.5+6+6.5*2+12*2</f>
        <v>116.5</v>
      </c>
      <c r="G32" s="36"/>
      <c r="H32" s="7">
        <f>IF(F32=0,0,((AVERAGE(F32:G32))/U32))</f>
        <v>0.61315789473684212</v>
      </c>
      <c r="I32" s="38">
        <f>SUM(100-(H32*100))*1.5</f>
        <v>58.026315789473685</v>
      </c>
      <c r="J32" s="21" t="s">
        <v>25</v>
      </c>
      <c r="K32" s="21">
        <v>0</v>
      </c>
      <c r="L32" s="21" t="e">
        <f t="shared" ref="L32:L33" si="3">K32+J32</f>
        <v>#VALUE!</v>
      </c>
      <c r="M32" s="20"/>
      <c r="O32" s="45" t="e">
        <f>I32+L32</f>
        <v>#VALUE!</v>
      </c>
      <c r="P32" s="18"/>
      <c r="Q32" s="17">
        <v>0</v>
      </c>
      <c r="S32" s="18">
        <f>IF(P32=0,,IF(P32&gt;10,,11-(P32)))</f>
        <v>0</v>
      </c>
      <c r="U32" s="16">
        <v>190</v>
      </c>
      <c r="V32" s="16"/>
    </row>
    <row r="33" spans="1:22" s="5" customFormat="1" ht="19.5" customHeight="1" x14ac:dyDescent="0.2">
      <c r="A33" s="68">
        <v>28</v>
      </c>
      <c r="B33" s="66" t="s">
        <v>101</v>
      </c>
      <c r="C33" s="66" t="s">
        <v>102</v>
      </c>
      <c r="D33" s="66" t="s">
        <v>8</v>
      </c>
      <c r="E33" s="10"/>
      <c r="F33" s="36">
        <f>6+7+6.5+6+5+6.5+5.5+7+6.5+7+5+6+6.5+6.5+7+12*2</f>
        <v>118</v>
      </c>
      <c r="G33" s="36"/>
      <c r="H33" s="7">
        <f>IF(F33=0,0,((AVERAGE(F33:G33))/U33))</f>
        <v>0.62105263157894741</v>
      </c>
      <c r="I33" s="38">
        <f>SUM(100-(H33*100))*1.5</f>
        <v>56.84210526315789</v>
      </c>
      <c r="J33" s="21">
        <v>8</v>
      </c>
      <c r="K33" s="21">
        <v>0</v>
      </c>
      <c r="L33" s="21">
        <f t="shared" si="3"/>
        <v>8</v>
      </c>
      <c r="M33" s="20">
        <v>90</v>
      </c>
      <c r="O33" s="19">
        <f>I33+L33</f>
        <v>64.84210526315789</v>
      </c>
      <c r="P33" s="18">
        <v>1</v>
      </c>
      <c r="Q33" s="17" t="str">
        <f>IFERROR(IF(OR(P33&gt;10,P33=0),"-",IF(AND((AVERAGE(F33:G33)/U33)&gt;0.55,L33=0),"Q","-")),0)</f>
        <v>-</v>
      </c>
      <c r="S33" s="18">
        <f>IF(P33=0,,IF(P33&gt;10,,11-(P33)))</f>
        <v>10</v>
      </c>
      <c r="U33" s="16">
        <v>190</v>
      </c>
      <c r="V33" s="16"/>
    </row>
    <row r="34" spans="1:22" s="5" customFormat="1" ht="19.5" customHeight="1" x14ac:dyDescent="0.25">
      <c r="A34" s="125" t="s">
        <v>140</v>
      </c>
      <c r="B34" s="119" t="s">
        <v>141</v>
      </c>
      <c r="C34" s="126"/>
      <c r="D34" s="126"/>
      <c r="F34" s="115"/>
      <c r="G34" s="116"/>
      <c r="H34" s="14"/>
      <c r="I34" s="38"/>
      <c r="J34" s="15"/>
      <c r="K34" s="117"/>
      <c r="L34" s="117"/>
      <c r="M34" s="13"/>
      <c r="O34" s="12"/>
      <c r="P34" s="11"/>
      <c r="Q34" s="17"/>
      <c r="S34" s="18"/>
      <c r="U34" s="16"/>
      <c r="V34" s="16"/>
    </row>
    <row r="35" spans="1:22" s="5" customFormat="1" ht="19.5" customHeight="1" x14ac:dyDescent="0.2">
      <c r="A35" s="68">
        <v>48</v>
      </c>
      <c r="B35" s="66" t="s">
        <v>151</v>
      </c>
      <c r="C35" s="66" t="s">
        <v>152</v>
      </c>
      <c r="D35" s="66" t="s">
        <v>153</v>
      </c>
      <c r="E35" s="10"/>
      <c r="F35" s="36">
        <f>6.5+16+7*2+14+11+15+7+12+6+7+12+6.5+7*2+13*2</f>
        <v>167</v>
      </c>
      <c r="G35" s="36"/>
      <c r="H35" s="7">
        <f>IF(F35=0,0,((AVERAGE(F35:G35))/U35))</f>
        <v>0.66800000000000004</v>
      </c>
      <c r="I35" s="38">
        <f>SUM(100-(H35*100))*1.5</f>
        <v>49.800000000000004</v>
      </c>
      <c r="J35" s="21"/>
      <c r="K35" s="21">
        <v>0</v>
      </c>
      <c r="L35" s="21">
        <f>K35+J35</f>
        <v>0</v>
      </c>
      <c r="M35" s="20"/>
      <c r="O35" s="45">
        <f>I35+L35</f>
        <v>49.800000000000004</v>
      </c>
      <c r="P35" s="18">
        <v>1</v>
      </c>
      <c r="Q35" s="17" t="str">
        <f>IFERROR(IF(OR(P35&gt;10,P35=0),"-",IF(AND((AVERAGE(F35:G35)/U35)&gt;0.55,L35=0),"Q","-")),0)</f>
        <v>Q</v>
      </c>
      <c r="S35" s="18">
        <f>IF(P35=0,,IF(P35&gt;10,,11-(P35)))</f>
        <v>10</v>
      </c>
      <c r="U35" s="16">
        <v>250</v>
      </c>
      <c r="V35" s="16"/>
    </row>
    <row r="36" spans="1:22" s="5" customFormat="1" ht="19.5" customHeight="1" x14ac:dyDescent="0.2">
      <c r="A36" s="68">
        <v>22</v>
      </c>
      <c r="B36" s="66" t="s">
        <v>142</v>
      </c>
      <c r="C36" s="66" t="s">
        <v>143</v>
      </c>
      <c r="D36" s="66" t="s">
        <v>24</v>
      </c>
      <c r="E36" s="10"/>
      <c r="F36" s="36">
        <f>6.5+14+6*2+13*2+16+6.5+12+6+7+14+6+6.5+6+14+13</f>
        <v>165.5</v>
      </c>
      <c r="G36" s="36"/>
      <c r="H36" s="7">
        <f>IF(F36=0,0,((AVERAGE(F36:G36))/U36))</f>
        <v>0.66200000000000003</v>
      </c>
      <c r="I36" s="38">
        <f>SUM(100-(H36*100))*1.5</f>
        <v>50.699999999999996</v>
      </c>
      <c r="J36" s="21">
        <v>4</v>
      </c>
      <c r="K36" s="21">
        <v>0</v>
      </c>
      <c r="L36" s="21">
        <f>K36+J36</f>
        <v>4</v>
      </c>
      <c r="M36" s="20"/>
      <c r="O36" s="45">
        <f>I36+L36</f>
        <v>54.699999999999996</v>
      </c>
      <c r="P36" s="18">
        <v>2</v>
      </c>
      <c r="Q36" s="17" t="str">
        <f>IFERROR(IF(OR(P36&gt;10,P36=0),"-",IF(AND((AVERAGE(F36:G36)/U36)&gt;0.55,L36=0),"Q","-")),0)</f>
        <v>-</v>
      </c>
      <c r="S36" s="18">
        <f>IF(P36=0,,IF(P36&gt;10,,11-(P36)))</f>
        <v>9</v>
      </c>
      <c r="U36" s="16">
        <v>250</v>
      </c>
      <c r="V36" s="16"/>
    </row>
    <row r="37" spans="1:22" s="5" customFormat="1" ht="19.5" customHeight="1" x14ac:dyDescent="0.2">
      <c r="A37" s="68">
        <v>24</v>
      </c>
      <c r="B37" s="66" t="s">
        <v>144</v>
      </c>
      <c r="C37" s="66" t="s">
        <v>145</v>
      </c>
      <c r="D37" s="66" t="s">
        <v>7</v>
      </c>
      <c r="E37" s="10"/>
      <c r="F37" s="36">
        <f>6.5+13+5+6+13*2+16+7+14+7+6.5+14+6+6.5*2+12+13</f>
        <v>165</v>
      </c>
      <c r="G37" s="36"/>
      <c r="H37" s="7">
        <f>IF(F37=0,0,((AVERAGE(F37:G37))/U37))</f>
        <v>0.66</v>
      </c>
      <c r="I37" s="38">
        <f>SUM(100-(H37*100))*1.5</f>
        <v>51</v>
      </c>
      <c r="J37" s="21">
        <v>4</v>
      </c>
      <c r="K37" s="21">
        <v>0</v>
      </c>
      <c r="L37" s="21">
        <f>K37+J37</f>
        <v>4</v>
      </c>
      <c r="M37" s="20"/>
      <c r="O37" s="45">
        <f>I37+L37</f>
        <v>55</v>
      </c>
      <c r="P37" s="18">
        <v>3</v>
      </c>
      <c r="Q37" s="17" t="str">
        <f>IFERROR(IF(OR(P37&gt;10,P37=0),"-",IF(AND((AVERAGE(F37:G37)/U37)&gt;0.55,L37=0),"Q","-")),0)</f>
        <v>-</v>
      </c>
      <c r="S37" s="18">
        <f>IF(P37=0,,IF(P37&gt;10,,11-(P37)))</f>
        <v>8</v>
      </c>
      <c r="U37" s="16">
        <v>250</v>
      </c>
      <c r="V37" s="16"/>
    </row>
    <row r="38" spans="1:22" s="5" customFormat="1" ht="19.5" customHeight="1" x14ac:dyDescent="0.2">
      <c r="A38" s="68">
        <v>25</v>
      </c>
      <c r="B38" s="66" t="s">
        <v>146</v>
      </c>
      <c r="C38" s="66" t="s">
        <v>147</v>
      </c>
      <c r="D38" s="66" t="s">
        <v>148</v>
      </c>
      <c r="E38" s="10"/>
      <c r="F38" s="36">
        <f>5.5+11+6*2+10*2+8+6.5+12+6.5+6+12+5.5+6*2+10+12</f>
        <v>139</v>
      </c>
      <c r="G38" s="36"/>
      <c r="H38" s="7">
        <f>IF(F38=0,0,((AVERAGE(F38:G38))/U38))</f>
        <v>0.55600000000000005</v>
      </c>
      <c r="I38" s="38">
        <f>SUM(100-(H38*100))*1.5</f>
        <v>66.599999999999994</v>
      </c>
      <c r="J38" s="21"/>
      <c r="K38" s="21">
        <v>0</v>
      </c>
      <c r="L38" s="21">
        <f>K38+J38</f>
        <v>0</v>
      </c>
      <c r="M38" s="20"/>
      <c r="O38" s="45">
        <f>I38+L38</f>
        <v>66.599999999999994</v>
      </c>
      <c r="P38" s="18">
        <v>4</v>
      </c>
      <c r="Q38" s="17" t="str">
        <f>IFERROR(IF(OR(P38&gt;10,P38=0),"-",IF(AND((AVERAGE(F38:G38)/U38)&gt;0.55,L38=0),"Q","-")),0)</f>
        <v>Q</v>
      </c>
      <c r="S38" s="18">
        <f>IF(P38=0,,IF(P38&gt;10,,11-(P38)))</f>
        <v>7</v>
      </c>
      <c r="U38" s="16">
        <v>250</v>
      </c>
      <c r="V38" s="16"/>
    </row>
    <row r="39" spans="1:22" s="5" customFormat="1" ht="19.5" customHeight="1" x14ac:dyDescent="0.2">
      <c r="A39" s="68">
        <v>26</v>
      </c>
      <c r="B39" s="66" t="s">
        <v>149</v>
      </c>
      <c r="C39" s="66" t="s">
        <v>150</v>
      </c>
      <c r="D39" s="66" t="s">
        <v>8</v>
      </c>
      <c r="E39" s="10"/>
      <c r="F39" s="36">
        <f>5.5+12+6.5+7+14+13*2+6+12+6+6.5+14+6+6*2+12+13</f>
        <v>158.5</v>
      </c>
      <c r="G39" s="36"/>
      <c r="H39" s="7">
        <f>IF(F39=0,0,((AVERAGE(F39:G39))/U39))</f>
        <v>0.63400000000000001</v>
      </c>
      <c r="I39" s="38">
        <f>SUM(100-(H39*100))*1.5</f>
        <v>54.900000000000006</v>
      </c>
      <c r="J39" s="21">
        <v>12</v>
      </c>
      <c r="K39" s="21">
        <v>0</v>
      </c>
      <c r="L39" s="21">
        <f>K39+J39</f>
        <v>12</v>
      </c>
      <c r="M39" s="20"/>
      <c r="O39" s="45">
        <f>I39+L39</f>
        <v>66.900000000000006</v>
      </c>
      <c r="P39" s="18">
        <v>5</v>
      </c>
      <c r="Q39" s="17" t="str">
        <f>IFERROR(IF(OR(P39&gt;10,P39=0),"-",IF(AND((AVERAGE(F39:G39)/U39)&gt;0.55,L39=0),"Q","-")),0)</f>
        <v>-</v>
      </c>
      <c r="S39" s="18">
        <f>IF(P39=0,,IF(P39&gt;10,,11-(P39)))</f>
        <v>6</v>
      </c>
      <c r="U39" s="16">
        <v>250</v>
      </c>
      <c r="V39" s="16"/>
    </row>
    <row r="40" spans="1:22" s="5" customFormat="1" ht="19.5" customHeight="1" x14ac:dyDescent="0.2">
      <c r="A40" s="68">
        <v>23</v>
      </c>
      <c r="B40" s="66" t="s">
        <v>99</v>
      </c>
      <c r="C40" s="66" t="s">
        <v>52</v>
      </c>
      <c r="D40" s="66" t="s">
        <v>8</v>
      </c>
      <c r="E40" s="10"/>
      <c r="F40" s="36">
        <f>6+12+6*2+13+10*2+6+11+6.5+6+13+6*3+11+12</f>
        <v>146.5</v>
      </c>
      <c r="G40" s="36"/>
      <c r="H40" s="7">
        <f>IF(F40=0,0,((AVERAGE(F40:G40))/U40))</f>
        <v>0.58599999999999997</v>
      </c>
      <c r="I40" s="38">
        <f>SUM(100-(H40*100))*1.5</f>
        <v>62.100000000000009</v>
      </c>
      <c r="J40" s="21" t="s">
        <v>25</v>
      </c>
      <c r="K40" s="21">
        <v>0</v>
      </c>
      <c r="L40" s="21" t="e">
        <f>K40+J40</f>
        <v>#VALUE!</v>
      </c>
      <c r="M40" s="20"/>
      <c r="O40" s="45" t="e">
        <f>I40+L40</f>
        <v>#VALUE!</v>
      </c>
      <c r="P40" s="18"/>
      <c r="Q40" s="17" t="str">
        <f>IFERROR(IF(OR(P40&gt;10,P40=0),"-",IF(AND((AVERAGE(F40:G40)/U40)&gt;0.55,L40=0),"Q","-")),0)</f>
        <v>-</v>
      </c>
      <c r="S40" s="18">
        <f>IF(P40=0,,IF(P40&gt;10,,11-(P40)))</f>
        <v>0</v>
      </c>
      <c r="U40" s="16">
        <v>250</v>
      </c>
      <c r="V40" s="16"/>
    </row>
    <row r="41" spans="1:22" s="5" customFormat="1" ht="19.5" customHeight="1" x14ac:dyDescent="0.25">
      <c r="A41" s="43"/>
      <c r="B41" s="119" t="s">
        <v>103</v>
      </c>
      <c r="C41" s="42"/>
      <c r="D41" s="27"/>
      <c r="E41" s="27"/>
      <c r="F41" s="28"/>
      <c r="G41" s="26"/>
      <c r="H41" s="25"/>
      <c r="I41" s="28"/>
      <c r="J41" s="28"/>
      <c r="K41" s="26"/>
      <c r="L41" s="26"/>
      <c r="M41" s="25"/>
      <c r="N41"/>
      <c r="O41" s="71"/>
      <c r="P41" s="72"/>
      <c r="Q41" s="24"/>
      <c r="R41"/>
      <c r="S41" s="23"/>
      <c r="T41"/>
      <c r="U41"/>
      <c r="V41" s="16"/>
    </row>
    <row r="42" spans="1:22" s="5" customFormat="1" ht="19.5" customHeight="1" x14ac:dyDescent="0.2">
      <c r="A42" s="68">
        <v>31</v>
      </c>
      <c r="B42" s="120" t="s">
        <v>108</v>
      </c>
      <c r="C42" s="66" t="s">
        <v>109</v>
      </c>
      <c r="D42" s="66" t="s">
        <v>9</v>
      </c>
      <c r="E42" s="10"/>
      <c r="F42" s="21">
        <f>6+5.5+14+7+6+12+14+13+7+13+6+7+11+12+6+6.5*2+12+13</f>
        <v>177.5</v>
      </c>
      <c r="G42" s="21"/>
      <c r="H42" s="7">
        <f>IF(F42=0,0,((AVERAGE(F42:G42))/U42))</f>
        <v>0.6339285714285714</v>
      </c>
      <c r="I42" s="38">
        <f>SUM(100-(H42*100))*1.5</f>
        <v>54.910714285714292</v>
      </c>
      <c r="J42" s="21"/>
      <c r="K42" s="21">
        <f>IF((V42&gt;M42),0,(M42-V42)*0.4)</f>
        <v>0</v>
      </c>
      <c r="L42" s="21">
        <f>K42+J42</f>
        <v>0</v>
      </c>
      <c r="M42" s="20">
        <v>69.72</v>
      </c>
      <c r="O42" s="45">
        <f>I42+L42</f>
        <v>54.910714285714292</v>
      </c>
      <c r="P42" s="18">
        <v>1</v>
      </c>
      <c r="Q42" s="17" t="str">
        <f>IFERROR(IF(OR(P42&gt;10,P42=0),"-",IF(AND((AVERAGE(F42:G42)/U42)&gt;0.55,L42=0),"Q","-")),0)</f>
        <v>Q</v>
      </c>
      <c r="S42" s="18">
        <f>IF(P42=0,,IF(P42&gt;10,,11-(P42)))</f>
        <v>10</v>
      </c>
      <c r="U42" s="16">
        <v>280</v>
      </c>
      <c r="V42" s="16">
        <v>76</v>
      </c>
    </row>
    <row r="43" spans="1:22" s="5" customFormat="1" ht="19.5" customHeight="1" x14ac:dyDescent="0.2">
      <c r="A43" s="68">
        <v>29</v>
      </c>
      <c r="B43" s="120" t="s">
        <v>104</v>
      </c>
      <c r="C43" s="66" t="s">
        <v>105</v>
      </c>
      <c r="D43" s="66" t="s">
        <v>24</v>
      </c>
      <c r="E43" s="10"/>
      <c r="F43" s="21">
        <f>5.5+6+12+6+6.5+14+12+16+6+12+5.5+6+13*2+5.5+6*2+12*2</f>
        <v>175</v>
      </c>
      <c r="G43" s="21"/>
      <c r="H43" s="7">
        <f>IF(F43=0,0,((AVERAGE(F43:G43))/U43))</f>
        <v>0.625</v>
      </c>
      <c r="I43" s="38">
        <f>SUM(100-(H43*100))*1.5</f>
        <v>56.25</v>
      </c>
      <c r="J43" s="21"/>
      <c r="K43" s="21">
        <f>IF((V43&gt;M43),0,(M43-V43)*0.4)</f>
        <v>0</v>
      </c>
      <c r="L43" s="21">
        <f>K43+J43</f>
        <v>0</v>
      </c>
      <c r="M43" s="20">
        <v>71.37</v>
      </c>
      <c r="O43" s="45">
        <f>I43+L43</f>
        <v>56.25</v>
      </c>
      <c r="P43" s="18">
        <v>2</v>
      </c>
      <c r="Q43" s="17" t="str">
        <f>IFERROR(IF(OR(P43&gt;10,P43=0),"-",IF(AND((AVERAGE(F43:G43)/U43)&gt;0.55,L43=0),"Q","-")),0)</f>
        <v>Q</v>
      </c>
      <c r="S43" s="18">
        <f>IF(P43=0,,IF(P43&gt;10,,11-(P43)))</f>
        <v>9</v>
      </c>
      <c r="U43" s="16">
        <v>280</v>
      </c>
      <c r="V43" s="16">
        <v>76</v>
      </c>
    </row>
    <row r="44" spans="1:22" s="5" customFormat="1" ht="19.5" customHeight="1" x14ac:dyDescent="0.2">
      <c r="A44" s="68">
        <v>30</v>
      </c>
      <c r="B44" s="120" t="s">
        <v>106</v>
      </c>
      <c r="C44" s="66" t="s">
        <v>107</v>
      </c>
      <c r="D44" s="66" t="s">
        <v>9</v>
      </c>
      <c r="E44" s="10"/>
      <c r="F44" s="21">
        <f>6+6.5+12+6*2+11+12+13+6+13+6.5+7+12*2+6.5+6*2+13+12</f>
        <v>172.5</v>
      </c>
      <c r="G44" s="21"/>
      <c r="H44" s="7">
        <f>IF(F44=0,0,((AVERAGE(F44:G44))/U44))</f>
        <v>0.6160714285714286</v>
      </c>
      <c r="I44" s="38">
        <f>SUM(100-(H44*100))*1.5</f>
        <v>57.589285714285708</v>
      </c>
      <c r="J44" s="21"/>
      <c r="K44" s="21">
        <f>IF((V44&gt;M44),0,(M44-V44)*0.4)</f>
        <v>3.6519999999999984</v>
      </c>
      <c r="L44" s="21">
        <f>K44+J44</f>
        <v>3.6519999999999984</v>
      </c>
      <c r="M44" s="20">
        <v>85.13</v>
      </c>
      <c r="O44" s="45">
        <f>I44+L44</f>
        <v>61.241285714285709</v>
      </c>
      <c r="P44" s="18">
        <v>3</v>
      </c>
      <c r="Q44" s="17" t="str">
        <f>IFERROR(IF(OR(P44&gt;10,P44=0),"-",IF(AND((AVERAGE(F44:G44)/U44)&gt;0.55,L44=0),"Q","-")),0)</f>
        <v>-</v>
      </c>
      <c r="S44" s="18">
        <f>IF(P44=0,,IF(P44&gt;10,,11-(P44)))</f>
        <v>8</v>
      </c>
      <c r="U44" s="16">
        <v>280</v>
      </c>
      <c r="V44" s="16">
        <v>76</v>
      </c>
    </row>
    <row r="45" spans="1:22" s="5" customFormat="1" ht="19.5" customHeight="1" x14ac:dyDescent="0.25">
      <c r="A45" s="43"/>
      <c r="B45" s="119" t="s">
        <v>110</v>
      </c>
      <c r="C45" s="42"/>
      <c r="D45" s="27"/>
      <c r="E45" s="27"/>
      <c r="F45" s="81"/>
      <c r="G45" s="26"/>
      <c r="H45" s="82"/>
      <c r="I45" s="81"/>
      <c r="J45" s="81"/>
      <c r="K45" s="26"/>
      <c r="L45" s="26"/>
      <c r="M45" s="82"/>
      <c r="N45"/>
      <c r="O45" s="81"/>
      <c r="P45" s="82"/>
      <c r="Q45" s="24"/>
      <c r="R45"/>
      <c r="S45" s="23"/>
      <c r="T45"/>
      <c r="U45"/>
      <c r="V45" s="16"/>
    </row>
    <row r="46" spans="1:22" s="5" customFormat="1" ht="19.5" customHeight="1" x14ac:dyDescent="0.2">
      <c r="A46" s="68">
        <v>37</v>
      </c>
      <c r="B46" s="66" t="s">
        <v>121</v>
      </c>
      <c r="C46" s="66" t="s">
        <v>122</v>
      </c>
      <c r="D46" s="66" t="s">
        <v>71</v>
      </c>
      <c r="E46" s="10"/>
      <c r="F46" s="21">
        <f>7+8+7*2+6.5+7+7+8+8+6.5+7+6.5+6+7+6.5+16+14</f>
        <v>135</v>
      </c>
      <c r="G46" s="21"/>
      <c r="H46" s="7">
        <f>IF(F46=0,0,((AVERAGE(F46:G46))/U46))</f>
        <v>0.71052631578947367</v>
      </c>
      <c r="I46" s="38">
        <f>SUM(100-(H46*100))*1.5</f>
        <v>43.421052631578945</v>
      </c>
      <c r="J46" s="21"/>
      <c r="K46" s="21"/>
      <c r="L46" s="21">
        <f>K46+J46</f>
        <v>0</v>
      </c>
      <c r="M46" s="20"/>
      <c r="O46" s="45">
        <f>I46+L46</f>
        <v>43.421052631578945</v>
      </c>
      <c r="P46" s="18">
        <v>1</v>
      </c>
      <c r="Q46" s="17" t="str">
        <f>IFERROR(IF(OR(P46&gt;10,P46=0),"-",IF(AND((AVERAGE(F46:G46)/U46)&gt;0.55,L46=0),"Q","-")),0)</f>
        <v>Q</v>
      </c>
      <c r="S46" s="18">
        <f>IF(P46=0,,IF(P46&gt;10,,11-(P46)))</f>
        <v>10</v>
      </c>
      <c r="U46" s="16">
        <v>190</v>
      </c>
      <c r="V46" s="16"/>
    </row>
    <row r="47" spans="1:22" s="5" customFormat="1" ht="19.5" customHeight="1" x14ac:dyDescent="0.2">
      <c r="A47" s="68">
        <v>38</v>
      </c>
      <c r="B47" s="120" t="s">
        <v>123</v>
      </c>
      <c r="C47" s="66" t="s">
        <v>124</v>
      </c>
      <c r="D47" s="66" t="s">
        <v>71</v>
      </c>
      <c r="E47" s="10"/>
      <c r="F47" s="21">
        <f>6.5+7+6.5+7+6.5+7+6+7*3+8+6.5+8+6.5*2+14+13</f>
        <v>130</v>
      </c>
      <c r="G47" s="21"/>
      <c r="H47" s="7">
        <f>IF(F47=0,0,((AVERAGE(F47:G47))/U47))</f>
        <v>0.68421052631578949</v>
      </c>
      <c r="I47" s="38">
        <f>SUM(100-(H47*100))*1.5</f>
        <v>47.368421052631582</v>
      </c>
      <c r="J47" s="21"/>
      <c r="K47" s="21"/>
      <c r="L47" s="21">
        <f>K47+J47</f>
        <v>0</v>
      </c>
      <c r="M47" s="20"/>
      <c r="O47" s="45">
        <f>I47+L47</f>
        <v>47.368421052631582</v>
      </c>
      <c r="P47" s="18">
        <v>2</v>
      </c>
      <c r="Q47" s="17" t="str">
        <f>IFERROR(IF(OR(P47&gt;10,P47=0),"-",IF(AND((AVERAGE(F47:G47)/U47)&gt;0.55,L47=0),"Q","-")),0)</f>
        <v>Q</v>
      </c>
      <c r="S47" s="18">
        <f>IF(P47=0,,IF(P47&gt;10,,11-(P47)))</f>
        <v>9</v>
      </c>
      <c r="U47" s="16">
        <v>190</v>
      </c>
      <c r="V47" s="16"/>
    </row>
    <row r="48" spans="1:22" s="5" customFormat="1" ht="19.5" customHeight="1" x14ac:dyDescent="0.2">
      <c r="A48" s="68">
        <v>33</v>
      </c>
      <c r="B48" s="120" t="s">
        <v>113</v>
      </c>
      <c r="C48" s="66" t="s">
        <v>114</v>
      </c>
      <c r="D48" s="66" t="s">
        <v>71</v>
      </c>
      <c r="E48" s="10"/>
      <c r="F48" s="21">
        <f>6+7*2+8+6.5+7+6+7+6.5+7*2+6+7+6.5*2+13*2</f>
        <v>127</v>
      </c>
      <c r="G48" s="21"/>
      <c r="H48" s="7">
        <f>IF(F48=0,0,((AVERAGE(F48:G48))/U48))</f>
        <v>0.66842105263157892</v>
      </c>
      <c r="I48" s="38">
        <f>SUM(100-(H48*100))*1.5</f>
        <v>49.736842105263165</v>
      </c>
      <c r="J48" s="21"/>
      <c r="K48" s="21"/>
      <c r="L48" s="21">
        <f>K48+J48</f>
        <v>0</v>
      </c>
      <c r="M48" s="20"/>
      <c r="O48" s="45">
        <f>I48+L48</f>
        <v>49.736842105263165</v>
      </c>
      <c r="P48" s="18">
        <v>3</v>
      </c>
      <c r="Q48" s="17" t="str">
        <f>IFERROR(IF(OR(P48&gt;10,P48=0),"-",IF(AND((AVERAGE(F48:G48)/U48)&gt;0.55,L48=0),"Q","-")),0)</f>
        <v>Q</v>
      </c>
      <c r="S48" s="18">
        <f>IF(P48=0,,IF(P48&gt;10,,11-(P48)))</f>
        <v>8</v>
      </c>
      <c r="U48" s="16">
        <v>190</v>
      </c>
      <c r="V48" s="16"/>
    </row>
    <row r="49" spans="1:22" s="5" customFormat="1" ht="19.5" customHeight="1" x14ac:dyDescent="0.2">
      <c r="A49" s="68">
        <v>32</v>
      </c>
      <c r="B49" s="120" t="s">
        <v>111</v>
      </c>
      <c r="C49" s="66" t="s">
        <v>112</v>
      </c>
      <c r="D49" s="66" t="s">
        <v>53</v>
      </c>
      <c r="E49" s="10"/>
      <c r="F49" s="21">
        <f>6+7+6.5+8+6.5+6*2+6.5+8+6*2+6.5+5+6.5*2+13*2</f>
        <v>123</v>
      </c>
      <c r="G49" s="21"/>
      <c r="H49" s="7">
        <f>IF(F49=0,0,((AVERAGE(F49:G49))/U49))</f>
        <v>0.64736842105263159</v>
      </c>
      <c r="I49" s="38">
        <f>SUM(100-(H49*100))*1.5</f>
        <v>52.894736842105253</v>
      </c>
      <c r="J49" s="21"/>
      <c r="K49" s="21"/>
      <c r="L49" s="21">
        <f>K49+J49</f>
        <v>0</v>
      </c>
      <c r="M49" s="20"/>
      <c r="O49" s="45">
        <f>I49+L49</f>
        <v>52.894736842105253</v>
      </c>
      <c r="P49" s="18">
        <v>4</v>
      </c>
      <c r="Q49" s="17" t="str">
        <f>IFERROR(IF(OR(P49&gt;10,P49=0),"-",IF(AND((AVERAGE(F49:G49)/U49)&gt;0.55,L49=0),"Q","-")),0)</f>
        <v>Q</v>
      </c>
      <c r="S49" s="18">
        <f>IF(P49=0,,IF(P49&gt;10,,11-(P49)))</f>
        <v>7</v>
      </c>
      <c r="U49" s="16">
        <v>190</v>
      </c>
      <c r="V49" s="16"/>
    </row>
    <row r="50" spans="1:22" s="5" customFormat="1" ht="19.5" customHeight="1" x14ac:dyDescent="0.2">
      <c r="A50" s="68">
        <v>35</v>
      </c>
      <c r="B50" s="120" t="s">
        <v>117</v>
      </c>
      <c r="C50" s="66" t="s">
        <v>118</v>
      </c>
      <c r="D50" s="66" t="s">
        <v>71</v>
      </c>
      <c r="E50" s="10"/>
      <c r="F50" s="21">
        <f>7+6*2+7*2+6+7+6.5+5.5+7+8+6*2+6.5+6+12+13</f>
        <v>122.5</v>
      </c>
      <c r="G50" s="21"/>
      <c r="H50" s="7">
        <f>IF(F50=0,0,((AVERAGE(F50:G50))/U50))</f>
        <v>0.64473684210526316</v>
      </c>
      <c r="I50" s="38">
        <f>SUM(100-(H50*100))*1.5</f>
        <v>53.289473684210527</v>
      </c>
      <c r="J50" s="21"/>
      <c r="K50" s="21"/>
      <c r="L50" s="21">
        <f>K50+J50</f>
        <v>0</v>
      </c>
      <c r="M50" s="20"/>
      <c r="O50" s="45">
        <f>I50+L50</f>
        <v>53.289473684210527</v>
      </c>
      <c r="P50" s="18">
        <v>5</v>
      </c>
      <c r="Q50" s="17" t="str">
        <f>IFERROR(IF(OR(P50&gt;10,P50=0),"-",IF(AND((AVERAGE(F50:G50)/U50)&gt;0.55,L50=0),"Q","-")),0)</f>
        <v>Q</v>
      </c>
      <c r="S50" s="18">
        <f>IF(P50=0,,IF(P50&gt;10,,11-(P50)))</f>
        <v>6</v>
      </c>
      <c r="U50" s="16">
        <v>190</v>
      </c>
      <c r="V50" s="16"/>
    </row>
    <row r="51" spans="1:22" s="5" customFormat="1" ht="19.5" customHeight="1" x14ac:dyDescent="0.2">
      <c r="A51" s="80">
        <v>36</v>
      </c>
      <c r="B51" s="120" t="s">
        <v>119</v>
      </c>
      <c r="C51" s="66" t="s">
        <v>120</v>
      </c>
      <c r="D51" s="66" t="s">
        <v>71</v>
      </c>
      <c r="E51" s="10"/>
      <c r="F51" s="21">
        <f>6.5*2+7+6.5*2+7+6.5+6+6.5+7*2+6*2+6.5+6+12+13</f>
        <v>122.5</v>
      </c>
      <c r="G51" s="21"/>
      <c r="H51" s="7">
        <f>IF(F51=0,0,((AVERAGE(F51:G51))/U51))</f>
        <v>0.64473684210526316</v>
      </c>
      <c r="I51" s="38">
        <f>SUM(100-(H51*100))*1.5</f>
        <v>53.289473684210527</v>
      </c>
      <c r="J51" s="21"/>
      <c r="K51" s="21"/>
      <c r="L51" s="21">
        <f>K51+J51</f>
        <v>0</v>
      </c>
      <c r="M51" s="20"/>
      <c r="O51" s="45">
        <f>I51+L51</f>
        <v>53.289473684210527</v>
      </c>
      <c r="P51" s="18">
        <v>5</v>
      </c>
      <c r="Q51" s="17" t="str">
        <f>IFERROR(IF(OR(P51&gt;10,P51=0),"-",IF(AND((AVERAGE(F51:G51)/U51)&gt;0.55,L51=0),"Q","-")),0)</f>
        <v>Q</v>
      </c>
      <c r="S51" s="18">
        <f>IF(P51=0,,IF(P51&gt;10,,11-(P51)))</f>
        <v>6</v>
      </c>
      <c r="U51" s="16">
        <v>190</v>
      </c>
      <c r="V51" s="16"/>
    </row>
    <row r="52" spans="1:22" s="5" customFormat="1" ht="19.5" customHeight="1" x14ac:dyDescent="0.2">
      <c r="A52" s="80">
        <v>39</v>
      </c>
      <c r="B52" s="120" t="s">
        <v>125</v>
      </c>
      <c r="C52" s="66" t="s">
        <v>126</v>
      </c>
      <c r="D52" s="66" t="s">
        <v>8</v>
      </c>
      <c r="E52" s="10"/>
      <c r="F52" s="21">
        <f>6.5+7*2+6.5+7+6.5*2+7+6+7+6.5*5+13*2</f>
        <v>125.5</v>
      </c>
      <c r="G52" s="21"/>
      <c r="H52" s="7">
        <f>IF(F52=0,0,((AVERAGE(F52:G52))/U52))</f>
        <v>0.66052631578947374</v>
      </c>
      <c r="I52" s="38">
        <f>SUM(100-(H52*100))*1.5</f>
        <v>50.921052631578945</v>
      </c>
      <c r="J52" s="21">
        <v>4</v>
      </c>
      <c r="K52" s="21"/>
      <c r="L52" s="21">
        <f>K52+J52</f>
        <v>4</v>
      </c>
      <c r="M52" s="20"/>
      <c r="O52" s="45">
        <f>I52+L52</f>
        <v>54.921052631578945</v>
      </c>
      <c r="P52" s="18">
        <v>7</v>
      </c>
      <c r="Q52" s="17" t="str">
        <f>IFERROR(IF(OR(P52&gt;10,P52=0),"-",IF(AND((AVERAGE(F52:G52)/U52)&gt;0.55,L52=0),"Q","-")),0)</f>
        <v>-</v>
      </c>
      <c r="S52" s="18">
        <f>IF(P52=0,,IF(P52&gt;10,,11-(P52)))</f>
        <v>4</v>
      </c>
      <c r="U52" s="16">
        <v>190</v>
      </c>
      <c r="V52" s="16"/>
    </row>
    <row r="53" spans="1:22" s="5" customFormat="1" ht="19.5" customHeight="1" x14ac:dyDescent="0.2">
      <c r="A53" s="80">
        <v>34</v>
      </c>
      <c r="B53" s="121" t="s">
        <v>115</v>
      </c>
      <c r="C53" s="66" t="s">
        <v>116</v>
      </c>
      <c r="D53" s="66" t="s">
        <v>8</v>
      </c>
      <c r="E53" s="10"/>
      <c r="F53" s="21">
        <f>6.5+7+6.5+7*2+6.5*2+7+6*2+7+5.5+6+6.5*2+13*2</f>
        <v>123.5</v>
      </c>
      <c r="G53" s="21"/>
      <c r="H53" s="7">
        <f>IF(F53=0,0,((AVERAGE(F53:G53))/U53))</f>
        <v>0.65</v>
      </c>
      <c r="I53" s="38">
        <f>SUM(100-(H53*100))*1.5</f>
        <v>52.5</v>
      </c>
      <c r="J53" s="21">
        <v>4</v>
      </c>
      <c r="K53" s="21"/>
      <c r="L53" s="21">
        <f>K53+J53</f>
        <v>4</v>
      </c>
      <c r="M53" s="20"/>
      <c r="O53" s="45">
        <f>I53+L53</f>
        <v>56.5</v>
      </c>
      <c r="P53" s="18">
        <v>8</v>
      </c>
      <c r="Q53" s="17" t="str">
        <f>IFERROR(IF(OR(P53&gt;10,P53=0),"-",IF(AND((AVERAGE(F53:G53)/U53)&gt;0.55,L53=0),"Q","-")),0)</f>
        <v>-</v>
      </c>
      <c r="S53" s="18">
        <f>IF(P53=0,,IF(P53&gt;10,,11-(P53)))</f>
        <v>3</v>
      </c>
      <c r="U53" s="16">
        <v>190</v>
      </c>
      <c r="V53" s="16"/>
    </row>
    <row r="54" spans="1:22" s="5" customFormat="1" ht="19.5" customHeight="1" x14ac:dyDescent="0.2">
      <c r="A54" s="80">
        <v>144</v>
      </c>
      <c r="B54" s="121" t="s">
        <v>127</v>
      </c>
      <c r="C54" s="66" t="s">
        <v>128</v>
      </c>
      <c r="D54" s="66" t="s">
        <v>8</v>
      </c>
      <c r="E54" s="10"/>
      <c r="F54" s="21">
        <v>0</v>
      </c>
      <c r="G54" s="21"/>
      <c r="H54" s="7">
        <f>IF(F54=0,0,((AVERAGE(F54:G54))/U54))</f>
        <v>0</v>
      </c>
      <c r="I54" s="38">
        <f>SUM(100-(H54*100))*1.5</f>
        <v>150</v>
      </c>
      <c r="J54" s="21"/>
      <c r="K54" s="21"/>
      <c r="L54" s="21">
        <f>K54+J54</f>
        <v>0</v>
      </c>
      <c r="M54" s="20"/>
      <c r="O54" s="45">
        <f>I54+L54</f>
        <v>150</v>
      </c>
      <c r="P54" s="18"/>
      <c r="Q54" s="17" t="str">
        <f>IFERROR(IF(OR(P54&gt;10,P54=0),"-",IF(AND((AVERAGE(F54:G54)/U54)&gt;0.55,L54=0),"Q","-")),0)</f>
        <v>-</v>
      </c>
      <c r="S54" s="18">
        <f>IF(P54=0,,IF(P54&gt;10,,11-(P54)))</f>
        <v>0</v>
      </c>
      <c r="U54" s="16">
        <v>190</v>
      </c>
      <c r="V54" s="16"/>
    </row>
  </sheetData>
  <sortState xmlns:xlrd2="http://schemas.microsoft.com/office/spreadsheetml/2017/richdata2" ref="A23:Z26">
    <sortCondition ref="O23:O26"/>
  </sortState>
  <mergeCells count="4">
    <mergeCell ref="Q3:Q4"/>
    <mergeCell ref="F3:H3"/>
    <mergeCell ref="J3:M3"/>
    <mergeCell ref="O3:P3"/>
  </mergeCells>
  <conditionalFormatting sqref="Q3:Q21 Q23:Q29 Q41:Q44 Q31:Q34">
    <cfRule type="cellIs" dxfId="9" priority="9" operator="equal">
      <formula>"Q"</formula>
    </cfRule>
  </conditionalFormatting>
  <conditionalFormatting sqref="Q45:Q54">
    <cfRule type="cellIs" dxfId="8" priority="3" operator="equal">
      <formula>"Q"</formula>
    </cfRule>
  </conditionalFormatting>
  <conditionalFormatting sqref="Q35:Q40">
    <cfRule type="cellIs" dxfId="7" priority="2" operator="equal">
      <formula>"Q"</formula>
    </cfRule>
  </conditionalFormatting>
  <conditionalFormatting sqref="Q30">
    <cfRule type="cellIs" dxfId="0" priority="1" operator="equal">
      <formula>"Q"</formula>
    </cfRule>
  </conditionalFormatting>
  <pageMargins left="0.70866141732283472" right="0.70866141732283472" top="0.74803149606299213" bottom="0.74803149606299213" header="0.31496062992125984" footer="0.31496062992125984"/>
  <pageSetup scale="58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V26"/>
  <sheetViews>
    <sheetView zoomScale="98" zoomScaleNormal="98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B1" sqref="B1:S1"/>
    </sheetView>
  </sheetViews>
  <sheetFormatPr defaultRowHeight="15" x14ac:dyDescent="0.25"/>
  <cols>
    <col min="1" max="1" width="3.28515625" customWidth="1"/>
    <col min="2" max="2" width="8.28515625" customWidth="1"/>
    <col min="3" max="3" width="27.85546875" customWidth="1"/>
    <col min="4" max="4" width="31.7109375" style="9" customWidth="1"/>
    <col min="5" max="5" width="18.5703125" customWidth="1"/>
    <col min="6" max="9" width="10" customWidth="1"/>
    <col min="10" max="10" width="8.28515625" customWidth="1"/>
    <col min="11" max="12" width="10" customWidth="1"/>
    <col min="13" max="13" width="11.28515625" customWidth="1"/>
    <col min="14" max="14" width="10" customWidth="1"/>
    <col min="15" max="15" width="8.28515625" customWidth="1"/>
    <col min="16" max="16" width="1" style="48" customWidth="1"/>
    <col min="18" max="18" width="9.85546875" customWidth="1"/>
    <col min="19" max="19" width="9" style="1" customWidth="1"/>
    <col min="20" max="20" width="9.7109375" bestFit="1" customWidth="1"/>
    <col min="21" max="22" width="7.140625" bestFit="1" customWidth="1"/>
  </cols>
  <sheetData>
    <row r="1" spans="2:22" ht="50.25" customHeight="1" x14ac:dyDescent="0.25">
      <c r="B1" s="94" t="s">
        <v>155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/>
      <c r="T1" s="1"/>
    </row>
    <row r="2" spans="2:22" x14ac:dyDescent="0.25">
      <c r="D2"/>
      <c r="P2"/>
      <c r="S2"/>
      <c r="T2" s="1"/>
    </row>
    <row r="3" spans="2:22" ht="26.25" customHeight="1" x14ac:dyDescent="0.25">
      <c r="F3" s="97"/>
      <c r="G3" s="97"/>
      <c r="H3" s="97"/>
      <c r="I3" s="46"/>
      <c r="J3" s="46"/>
      <c r="L3" s="47"/>
      <c r="M3" s="47"/>
      <c r="Q3" s="98">
        <f ca="1">NOW()</f>
        <v>44367.612993981478</v>
      </c>
      <c r="R3" s="98"/>
      <c r="S3" s="49"/>
      <c r="T3" s="1"/>
    </row>
    <row r="4" spans="2:22" ht="24" customHeight="1" x14ac:dyDescent="0.35">
      <c r="B4" s="50"/>
      <c r="C4" s="51"/>
      <c r="F4" s="99" t="s">
        <v>28</v>
      </c>
      <c r="G4" s="100"/>
      <c r="H4" s="101" t="s">
        <v>29</v>
      </c>
      <c r="I4" s="101" t="s">
        <v>30</v>
      </c>
      <c r="J4" s="103" t="s">
        <v>3</v>
      </c>
      <c r="K4" s="99" t="s">
        <v>31</v>
      </c>
      <c r="L4" s="100"/>
      <c r="M4" s="101" t="s">
        <v>32</v>
      </c>
      <c r="N4" s="101" t="s">
        <v>30</v>
      </c>
      <c r="O4" s="103" t="s">
        <v>3</v>
      </c>
      <c r="Q4" s="107" t="s">
        <v>33</v>
      </c>
      <c r="R4" s="107" t="s">
        <v>4</v>
      </c>
      <c r="S4" s="108" t="s">
        <v>12</v>
      </c>
      <c r="T4" s="109" t="s">
        <v>34</v>
      </c>
      <c r="U4" s="105" t="s">
        <v>35</v>
      </c>
      <c r="V4" s="105" t="s">
        <v>36</v>
      </c>
    </row>
    <row r="5" spans="2:22" ht="18" customHeight="1" x14ac:dyDescent="0.25">
      <c r="B5" s="52" t="s">
        <v>37</v>
      </c>
      <c r="C5" s="52" t="s">
        <v>38</v>
      </c>
      <c r="D5" s="52" t="s">
        <v>39</v>
      </c>
      <c r="E5" s="52" t="s">
        <v>40</v>
      </c>
      <c r="F5" s="53" t="s">
        <v>41</v>
      </c>
      <c r="G5" s="53" t="s">
        <v>42</v>
      </c>
      <c r="H5" s="102"/>
      <c r="I5" s="102"/>
      <c r="J5" s="104"/>
      <c r="K5" s="53" t="s">
        <v>41</v>
      </c>
      <c r="L5" s="53" t="s">
        <v>42</v>
      </c>
      <c r="M5" s="102"/>
      <c r="N5" s="102"/>
      <c r="O5" s="104"/>
      <c r="Q5" s="107"/>
      <c r="R5" s="107"/>
      <c r="S5" s="93"/>
      <c r="T5" s="109"/>
      <c r="U5" s="106"/>
      <c r="V5" s="106"/>
    </row>
    <row r="6" spans="2:22" ht="18" x14ac:dyDescent="0.25">
      <c r="B6" s="54"/>
      <c r="C6" s="55" t="s">
        <v>43</v>
      </c>
      <c r="D6" s="56" t="s">
        <v>44</v>
      </c>
      <c r="E6" s="57"/>
      <c r="F6" s="75"/>
      <c r="G6" s="76"/>
      <c r="H6" s="76"/>
      <c r="I6" s="76"/>
      <c r="J6" s="77"/>
      <c r="K6" s="75"/>
      <c r="L6" s="76"/>
      <c r="M6" s="76"/>
      <c r="N6" s="76"/>
      <c r="O6" s="77"/>
      <c r="Q6" s="78"/>
      <c r="R6" s="79"/>
      <c r="S6" s="24"/>
      <c r="T6" s="58"/>
    </row>
    <row r="7" spans="2:22" ht="18.75" x14ac:dyDescent="0.25">
      <c r="B7" s="68">
        <v>1</v>
      </c>
      <c r="C7" s="66" t="s">
        <v>63</v>
      </c>
      <c r="D7" s="66" t="s">
        <v>129</v>
      </c>
      <c r="E7" s="66" t="s">
        <v>7</v>
      </c>
      <c r="F7" s="59">
        <f>7+5+6*3+5*2+6*2+7*2</f>
        <v>66</v>
      </c>
      <c r="G7" s="59"/>
      <c r="H7" s="60">
        <f>IF(F7=0,0,AVERAGE(F7:G7)/U7)</f>
        <v>0.6</v>
      </c>
      <c r="I7" s="61">
        <v>5</v>
      </c>
      <c r="J7" s="6">
        <f>IF(I7=0,,IF(I7&gt;10,,11-(I7)))</f>
        <v>6</v>
      </c>
      <c r="K7" s="59">
        <v>0</v>
      </c>
      <c r="L7" s="59"/>
      <c r="M7" s="60">
        <f>IF(K7=0,0,AVERAGE(K7:L7)/V7)</f>
        <v>0</v>
      </c>
      <c r="N7" s="61"/>
      <c r="O7" s="6">
        <f>IF(N7=0,,IF(N7&gt;10,,11-(N7)))</f>
        <v>0</v>
      </c>
      <c r="Q7" s="62">
        <f>J7+O7</f>
        <v>6</v>
      </c>
      <c r="R7" s="63">
        <v>5</v>
      </c>
      <c r="S7" s="8" t="str">
        <f t="shared" ref="S7:S11" si="0">IF(OR(R7&gt;10,R7=0),"-",IF(AND(H7&gt;=0.55,M7&gt;=0.55),"Q2",IF(OR(H7&gt;=0.55,M7&gt;=0.55),"Q1","-")))</f>
        <v>Q1</v>
      </c>
      <c r="T7" s="64">
        <f>IFERROR(AVERAGE(H7,M7),0)</f>
        <v>0.3</v>
      </c>
      <c r="U7" s="65">
        <v>110</v>
      </c>
      <c r="V7" s="65">
        <v>120</v>
      </c>
    </row>
    <row r="8" spans="2:22" ht="18.75" x14ac:dyDescent="0.25">
      <c r="B8" s="68">
        <v>2</v>
      </c>
      <c r="C8" s="66" t="s">
        <v>65</v>
      </c>
      <c r="D8" s="66" t="s">
        <v>66</v>
      </c>
      <c r="E8" s="66" t="s">
        <v>7</v>
      </c>
      <c r="F8" s="59">
        <f>7+8+7*4+6*2+7*2+8</f>
        <v>77</v>
      </c>
      <c r="G8" s="59"/>
      <c r="H8" s="60">
        <f>IF(F8=0,0,AVERAGE(F8:G8)/U8)</f>
        <v>0.7</v>
      </c>
      <c r="I8" s="61">
        <v>1</v>
      </c>
      <c r="J8" s="6">
        <f>IF(I8=0,,IF(I8&gt;10,,11-(I8)))</f>
        <v>10</v>
      </c>
      <c r="K8" s="59">
        <f>7*2+6+5+6*2+7+5+7+6*2+5</f>
        <v>73</v>
      </c>
      <c r="L8" s="59"/>
      <c r="M8" s="60">
        <f>IF(K8=0,0,AVERAGE(K8:L8)/V8)</f>
        <v>0.60833333333333328</v>
      </c>
      <c r="N8" s="61">
        <v>3</v>
      </c>
      <c r="O8" s="6">
        <f>IF(N8=0,,IF(N8&gt;10,,11-(N8)))</f>
        <v>8</v>
      </c>
      <c r="Q8" s="62">
        <f>J8+O8</f>
        <v>18</v>
      </c>
      <c r="R8" s="63">
        <v>3</v>
      </c>
      <c r="S8" s="8" t="str">
        <f t="shared" si="0"/>
        <v>Q2</v>
      </c>
      <c r="T8" s="64">
        <f>IFERROR(AVERAGE(H8,M8),0)</f>
        <v>0.65416666666666656</v>
      </c>
      <c r="U8" s="65">
        <v>110</v>
      </c>
      <c r="V8" s="65">
        <v>120</v>
      </c>
    </row>
    <row r="9" spans="2:22" ht="18.75" x14ac:dyDescent="0.25">
      <c r="B9" s="68">
        <v>4</v>
      </c>
      <c r="C9" s="66" t="s">
        <v>69</v>
      </c>
      <c r="D9" s="66" t="s">
        <v>70</v>
      </c>
      <c r="E9" s="66" t="s">
        <v>71</v>
      </c>
      <c r="F9" s="59">
        <f>8+6+7*2+6+7+8+7*4</f>
        <v>77</v>
      </c>
      <c r="G9" s="59"/>
      <c r="H9" s="60">
        <f t="shared" ref="H9" si="1">IF(F9=0,0,AVERAGE(F9:G9)/U9)</f>
        <v>0.7</v>
      </c>
      <c r="I9" s="61">
        <v>1</v>
      </c>
      <c r="J9" s="6">
        <f t="shared" ref="J9" si="2">IF(I9=0,,IF(I9&gt;10,,11-(I9)))</f>
        <v>10</v>
      </c>
      <c r="K9" s="59">
        <f>6*2+7*2+6+5+6*4+7*2</f>
        <v>75</v>
      </c>
      <c r="L9" s="59"/>
      <c r="M9" s="60">
        <f t="shared" ref="M9" si="3">IF(K9=0,0,AVERAGE(K9:L9)/V9)</f>
        <v>0.625</v>
      </c>
      <c r="N9" s="61">
        <v>2</v>
      </c>
      <c r="O9" s="6">
        <f t="shared" ref="O9" si="4">IF(N9=0,,IF(N9&gt;10,,11-(N9)))</f>
        <v>9</v>
      </c>
      <c r="Q9" s="62">
        <f t="shared" ref="Q9" si="5">J9+O9</f>
        <v>19</v>
      </c>
      <c r="R9" s="63">
        <v>2</v>
      </c>
      <c r="S9" s="8" t="str">
        <f t="shared" si="0"/>
        <v>Q2</v>
      </c>
      <c r="T9" s="64">
        <f t="shared" ref="T9" si="6">IFERROR(AVERAGE(H9,M9),0)</f>
        <v>0.66249999999999998</v>
      </c>
      <c r="U9" s="65">
        <v>110</v>
      </c>
      <c r="V9" s="65">
        <v>120</v>
      </c>
    </row>
    <row r="10" spans="2:22" ht="18.75" x14ac:dyDescent="0.25">
      <c r="B10" s="68">
        <v>3</v>
      </c>
      <c r="C10" s="66" t="s">
        <v>67</v>
      </c>
      <c r="D10" s="66" t="s">
        <v>68</v>
      </c>
      <c r="E10" s="66" t="s">
        <v>8</v>
      </c>
      <c r="F10" s="59">
        <f>6*2+5+7+6*3+7+6+7*2</f>
        <v>69</v>
      </c>
      <c r="G10" s="59"/>
      <c r="H10" s="60">
        <f t="shared" ref="H10:H11" si="7">IF(F10=0,0,AVERAGE(F10:G10)/U10)</f>
        <v>0.62727272727272732</v>
      </c>
      <c r="I10" s="61">
        <v>4</v>
      </c>
      <c r="J10" s="6">
        <f t="shared" ref="J10:J11" si="8">IF(I10=0,,IF(I10&gt;10,,11-(I10)))</f>
        <v>7</v>
      </c>
      <c r="K10" s="59">
        <v>0</v>
      </c>
      <c r="L10" s="59"/>
      <c r="M10" s="60">
        <f t="shared" ref="M10:M11" si="9">IF(K10=0,0,AVERAGE(K10:L10)/V10)</f>
        <v>0</v>
      </c>
      <c r="N10" s="61"/>
      <c r="O10" s="6">
        <f t="shared" ref="O10:O11" si="10">IF(N10=0,,IF(N10&gt;10,,11-(N10)))</f>
        <v>0</v>
      </c>
      <c r="Q10" s="62">
        <f t="shared" ref="Q10:Q11" si="11">J10+O10</f>
        <v>7</v>
      </c>
      <c r="R10" s="63">
        <v>4</v>
      </c>
      <c r="S10" s="8" t="str">
        <f t="shared" si="0"/>
        <v>Q1</v>
      </c>
      <c r="T10" s="64">
        <f t="shared" ref="T10:T11" si="12">IFERROR(AVERAGE(H10,M10),0)</f>
        <v>0.31363636363636366</v>
      </c>
      <c r="U10" s="65">
        <v>110</v>
      </c>
      <c r="V10" s="65">
        <v>120</v>
      </c>
    </row>
    <row r="11" spans="2:22" ht="18.75" x14ac:dyDescent="0.25">
      <c r="B11" s="68">
        <v>7</v>
      </c>
      <c r="C11" s="66" t="s">
        <v>55</v>
      </c>
      <c r="D11" s="66" t="s">
        <v>51</v>
      </c>
      <c r="E11" s="66" t="s">
        <v>6</v>
      </c>
      <c r="F11" s="59">
        <f>8+6+7*2+8*4+7*3-4</f>
        <v>77</v>
      </c>
      <c r="G11" s="59"/>
      <c r="H11" s="60">
        <f t="shared" si="7"/>
        <v>0.7</v>
      </c>
      <c r="I11" s="61">
        <v>1</v>
      </c>
      <c r="J11" s="6">
        <f t="shared" si="8"/>
        <v>10</v>
      </c>
      <c r="K11" s="59">
        <f>8+6+7*3+6+7+5+7*3+8</f>
        <v>82</v>
      </c>
      <c r="L11" s="59"/>
      <c r="M11" s="60">
        <f t="shared" si="9"/>
        <v>0.68333333333333335</v>
      </c>
      <c r="N11" s="61">
        <v>1</v>
      </c>
      <c r="O11" s="6">
        <f t="shared" si="10"/>
        <v>10</v>
      </c>
      <c r="Q11" s="62">
        <f t="shared" si="11"/>
        <v>20</v>
      </c>
      <c r="R11" s="63">
        <v>1</v>
      </c>
      <c r="S11" s="8" t="str">
        <f t="shared" si="0"/>
        <v>Q2</v>
      </c>
      <c r="T11" s="64">
        <f t="shared" si="12"/>
        <v>0.69166666666666665</v>
      </c>
      <c r="U11" s="65">
        <v>110</v>
      </c>
      <c r="V11" s="65">
        <v>120</v>
      </c>
    </row>
    <row r="12" spans="2:22" ht="18" x14ac:dyDescent="0.25">
      <c r="B12" s="54"/>
      <c r="C12" s="55" t="s">
        <v>45</v>
      </c>
      <c r="D12" s="56" t="s">
        <v>46</v>
      </c>
      <c r="E12" s="57"/>
      <c r="F12" s="75"/>
      <c r="G12" s="76"/>
      <c r="H12" s="76"/>
      <c r="I12" s="76"/>
      <c r="J12" s="77"/>
      <c r="K12" s="75"/>
      <c r="L12" s="76"/>
      <c r="M12" s="76"/>
      <c r="N12" s="76"/>
      <c r="O12" s="77"/>
      <c r="Q12" s="78"/>
      <c r="R12" s="79"/>
      <c r="S12" s="24"/>
      <c r="T12" s="58"/>
    </row>
    <row r="13" spans="2:22" ht="18.75" x14ac:dyDescent="0.25">
      <c r="B13" s="68">
        <v>5</v>
      </c>
      <c r="C13" s="66" t="s">
        <v>72</v>
      </c>
      <c r="D13" s="66" t="s">
        <v>73</v>
      </c>
      <c r="E13" s="66" t="s">
        <v>71</v>
      </c>
      <c r="F13" s="59">
        <f>6+6.5+6+5+6+5.5+6+5+6*3</f>
        <v>64</v>
      </c>
      <c r="G13" s="59">
        <f>6.5+6+5.5*2+6.5+5.5+6+5.5+6+7*2</f>
        <v>67</v>
      </c>
      <c r="H13" s="60">
        <f t="shared" ref="H13:H15" si="13">IF(F13=0,0,AVERAGE(F13:G13)/U13)</f>
        <v>0.59545454545454546</v>
      </c>
      <c r="I13" s="61">
        <v>1</v>
      </c>
      <c r="J13" s="6">
        <f t="shared" ref="J13:J15" si="14">IF(I13=0,,IF(I13&gt;10,,11-(I13)))</f>
        <v>10</v>
      </c>
      <c r="K13" s="59">
        <f>6.5*2+7+6.5+7+6.5+6*4+7+6.5</f>
        <v>77.5</v>
      </c>
      <c r="L13" s="59">
        <f>6.5+7+5+6.5+7+5+6+5.5+6*3+6</f>
        <v>72.5</v>
      </c>
      <c r="M13" s="60">
        <f t="shared" ref="M13:M15" si="15">IF(K13=0,0,AVERAGE(K13:L13)/V13)</f>
        <v>0.625</v>
      </c>
      <c r="N13" s="61">
        <v>2</v>
      </c>
      <c r="O13" s="6">
        <f t="shared" ref="O13:O15" si="16">IF(N13=0,,IF(N13&gt;10,,11-(N13)))</f>
        <v>9</v>
      </c>
      <c r="Q13" s="62">
        <f t="shared" ref="Q13:Q15" si="17">J13+O13</f>
        <v>19</v>
      </c>
      <c r="R13" s="63">
        <v>1</v>
      </c>
      <c r="S13" s="8" t="str">
        <f>IF(OR(R13&gt;10,R13=0),"-",IF(AND(H13&gt;=0.55,M13&gt;=0.55),"Q2",IF(OR(H13&gt;=0.55,M13&gt;=0.55),"Q1","-")))</f>
        <v>Q2</v>
      </c>
      <c r="T13" s="64">
        <f t="shared" ref="T13:T15" si="18">IFERROR(AVERAGE(H13,M13),0)</f>
        <v>0.61022727272727273</v>
      </c>
      <c r="U13" s="65">
        <v>110</v>
      </c>
      <c r="V13" s="65">
        <v>120</v>
      </c>
    </row>
    <row r="14" spans="2:22" ht="18.75" x14ac:dyDescent="0.25">
      <c r="B14" s="68">
        <v>6</v>
      </c>
      <c r="C14" s="66" t="s">
        <v>74</v>
      </c>
      <c r="D14" s="66" t="s">
        <v>75</v>
      </c>
      <c r="E14" s="66" t="s">
        <v>9</v>
      </c>
      <c r="F14" s="59">
        <f>6+6.5+5.5+5+6.5*6+6-8</f>
        <v>60</v>
      </c>
      <c r="G14" s="59">
        <f>6.5+6+5.5*2+6.5*2+7*2+6+6.5+7-8</f>
        <v>62</v>
      </c>
      <c r="H14" s="60">
        <f t="shared" si="13"/>
        <v>0.55454545454545456</v>
      </c>
      <c r="I14" s="61">
        <v>3</v>
      </c>
      <c r="J14" s="6">
        <f t="shared" si="14"/>
        <v>8</v>
      </c>
      <c r="K14" s="59">
        <f>6*4+7*2+6.5*3+7*2+6.5</f>
        <v>78</v>
      </c>
      <c r="L14" s="59">
        <f>6*3+5.5+6.5+7*4+6.5+6.5+7</f>
        <v>78</v>
      </c>
      <c r="M14" s="60">
        <f t="shared" si="15"/>
        <v>0.65</v>
      </c>
      <c r="N14" s="61">
        <v>1</v>
      </c>
      <c r="O14" s="6">
        <f t="shared" si="16"/>
        <v>10</v>
      </c>
      <c r="Q14" s="62">
        <f t="shared" si="17"/>
        <v>18</v>
      </c>
      <c r="R14" s="63">
        <v>2</v>
      </c>
      <c r="S14" s="8" t="str">
        <f t="shared" ref="S13:S15" si="19">IF(OR(R14&gt;10,R14=0),"-",IF(AND(H14&gt;=0.55,M14&gt;=0.55),"Q2",IF(OR(H14&gt;=0.55,M14&gt;=0.55),"Q1","-")))</f>
        <v>Q2</v>
      </c>
      <c r="T14" s="64">
        <f t="shared" si="18"/>
        <v>0.60227272727272729</v>
      </c>
      <c r="U14" s="65">
        <v>110</v>
      </c>
      <c r="V14" s="65">
        <v>120</v>
      </c>
    </row>
    <row r="15" spans="2:22" ht="18.75" x14ac:dyDescent="0.25">
      <c r="B15" s="122">
        <v>28</v>
      </c>
      <c r="C15" s="66" t="s">
        <v>101</v>
      </c>
      <c r="D15" s="66" t="s">
        <v>102</v>
      </c>
      <c r="E15" s="66" t="s">
        <v>8</v>
      </c>
      <c r="F15" s="59">
        <f>5.5+6+5.5*2+6+5.5+5*2+5.5+6*2</f>
        <v>61.5</v>
      </c>
      <c r="G15" s="59">
        <f>6.5*6+6*2+5.5+6.5*2</f>
        <v>69.5</v>
      </c>
      <c r="H15" s="60">
        <f t="shared" si="13"/>
        <v>0.59545454545454546</v>
      </c>
      <c r="I15" s="61">
        <v>1</v>
      </c>
      <c r="J15" s="6">
        <f t="shared" si="14"/>
        <v>10</v>
      </c>
      <c r="K15" s="59">
        <f>6*5+5*3+6*3+7</f>
        <v>70</v>
      </c>
      <c r="L15" s="59">
        <f>4.5+5.5+5+5.5*2+6+5.5+4.5+5+5.5+5+7</f>
        <v>64.5</v>
      </c>
      <c r="M15" s="60">
        <f t="shared" si="15"/>
        <v>0.56041666666666667</v>
      </c>
      <c r="N15" s="61">
        <v>3</v>
      </c>
      <c r="O15" s="6">
        <f t="shared" si="16"/>
        <v>8</v>
      </c>
      <c r="Q15" s="62">
        <f t="shared" si="17"/>
        <v>18</v>
      </c>
      <c r="R15" s="63">
        <v>3</v>
      </c>
      <c r="S15" s="8" t="str">
        <f t="shared" si="19"/>
        <v>Q2</v>
      </c>
      <c r="T15" s="64">
        <f t="shared" si="18"/>
        <v>0.57793560606060601</v>
      </c>
      <c r="U15" s="65">
        <v>110</v>
      </c>
      <c r="V15" s="65">
        <v>120</v>
      </c>
    </row>
    <row r="16" spans="2:22" ht="18" x14ac:dyDescent="0.25">
      <c r="B16" s="54"/>
      <c r="C16" s="55" t="s">
        <v>56</v>
      </c>
      <c r="D16" s="56" t="s">
        <v>57</v>
      </c>
      <c r="E16" s="57"/>
      <c r="F16" s="75"/>
      <c r="G16" s="76"/>
      <c r="H16" s="76"/>
      <c r="I16" s="76"/>
      <c r="J16" s="77"/>
      <c r="K16" s="75"/>
      <c r="L16" s="76"/>
      <c r="M16" s="76"/>
      <c r="N16" s="76"/>
      <c r="O16" s="77"/>
      <c r="Q16" s="78"/>
      <c r="R16" s="79"/>
      <c r="S16" s="24"/>
      <c r="T16" s="58"/>
    </row>
    <row r="17" spans="2:22" ht="18.75" x14ac:dyDescent="0.25">
      <c r="B17" s="68">
        <v>12</v>
      </c>
      <c r="C17" s="66" t="s">
        <v>83</v>
      </c>
      <c r="D17" s="66" t="s">
        <v>84</v>
      </c>
      <c r="E17" s="66" t="s">
        <v>9</v>
      </c>
      <c r="F17" s="59">
        <f>6+7+6.5*3+5+6+6.5+5+6*2-4</f>
        <v>63</v>
      </c>
      <c r="G17" s="59">
        <f>6+7+6*3+6.5+6*2+5.5+6*2-4</f>
        <v>63</v>
      </c>
      <c r="H17" s="60">
        <f>IF(F17=0,0,AVERAGE(F17:G17)/U17)</f>
        <v>0.57272727272727275</v>
      </c>
      <c r="I17" s="61">
        <v>2</v>
      </c>
      <c r="J17" s="6">
        <f>IF(I17=0,,IF(I17&gt;10,,11-(I17)))</f>
        <v>9</v>
      </c>
      <c r="K17" s="59">
        <f>6+6.5*2+7+6.5+6.5+6+6.5*5-4</f>
        <v>73.5</v>
      </c>
      <c r="L17" s="59">
        <f>6*2+5.5+6+5+6*2+5.5+5+5.5*2+6.5-4</f>
        <v>64.5</v>
      </c>
      <c r="M17" s="60">
        <f>IF(K17=0,0,AVERAGE(K17:L17)/V17)</f>
        <v>0.57499999999999996</v>
      </c>
      <c r="N17" s="61">
        <v>2</v>
      </c>
      <c r="O17" s="6">
        <f>IF(N17=0,,IF(N17&gt;10,,11-(N17)))</f>
        <v>9</v>
      </c>
      <c r="Q17" s="62">
        <f>J17+O17</f>
        <v>18</v>
      </c>
      <c r="R17" s="63">
        <v>2</v>
      </c>
      <c r="S17" s="8" t="str">
        <f>IF(OR(R17&gt;10,R17=0),"-",IF(AND(H17&gt;=0.55,M17&gt;=0.55),"Q2",IF(OR(H17&gt;=0.55,M17&gt;=0.55),"Q1","-")))</f>
        <v>Q2</v>
      </c>
      <c r="T17" s="64">
        <f>IFERROR(AVERAGE(H17,M17),0)</f>
        <v>0.57386363636363635</v>
      </c>
      <c r="U17" s="65">
        <v>110</v>
      </c>
      <c r="V17" s="65">
        <v>120</v>
      </c>
    </row>
    <row r="18" spans="2:22" ht="18.75" x14ac:dyDescent="0.25">
      <c r="B18" s="68">
        <v>44</v>
      </c>
      <c r="C18" s="66" t="s">
        <v>130</v>
      </c>
      <c r="D18" s="66" t="s">
        <v>131</v>
      </c>
      <c r="E18" s="66" t="s">
        <v>132</v>
      </c>
      <c r="F18" s="59" t="s">
        <v>25</v>
      </c>
      <c r="G18" s="59"/>
      <c r="H18" s="60" t="e">
        <f>IF(F18=0,0,AVERAGE(F18:G18)/U18)</f>
        <v>#DIV/0!</v>
      </c>
      <c r="I18" s="61"/>
      <c r="J18" s="6">
        <f>IF(I18=0,,IF(I18&gt;10,,11-(I18)))</f>
        <v>0</v>
      </c>
      <c r="K18" s="59" t="s">
        <v>25</v>
      </c>
      <c r="L18" s="59"/>
      <c r="M18" s="60" t="e">
        <f>IF(K18=0,0,AVERAGE(K18:L18)/V18)</f>
        <v>#DIV/0!</v>
      </c>
      <c r="N18" s="61"/>
      <c r="O18" s="6">
        <f>IF(N18=0,,IF(N18&gt;10,,11-(N18)))</f>
        <v>0</v>
      </c>
      <c r="Q18" s="62">
        <f>J18+O18</f>
        <v>0</v>
      </c>
      <c r="R18" s="63"/>
      <c r="S18" s="8" t="str">
        <f>IF(OR(R18&gt;10,R18=0),"-",IF(AND(H18&gt;=0.55,M18&gt;=0.55),"Q2",IF(OR(H18&gt;=0.55,M18&gt;=0.55),"Q1","-")))</f>
        <v>-</v>
      </c>
      <c r="T18" s="64">
        <f>IFERROR(AVERAGE(H18,M18),0)</f>
        <v>0</v>
      </c>
      <c r="U18" s="65">
        <v>110</v>
      </c>
      <c r="V18" s="65">
        <v>120</v>
      </c>
    </row>
    <row r="19" spans="2:22" ht="18.75" x14ac:dyDescent="0.25">
      <c r="B19" s="68">
        <v>17</v>
      </c>
      <c r="C19" s="66" t="s">
        <v>93</v>
      </c>
      <c r="D19" s="66" t="s">
        <v>94</v>
      </c>
      <c r="E19" s="66" t="s">
        <v>9</v>
      </c>
      <c r="F19" s="59">
        <f>7.5+8.5+8*3+7.5*2+7+7.5*3</f>
        <v>84.5</v>
      </c>
      <c r="G19" s="59">
        <f>7.5*6+6+7.5+6.5*2+7.5</f>
        <v>79</v>
      </c>
      <c r="H19" s="60">
        <f>IF(F19=0,0,AVERAGE(F19:G19)/U19)</f>
        <v>0.74318181818181817</v>
      </c>
      <c r="I19" s="61">
        <v>1</v>
      </c>
      <c r="J19" s="6">
        <f>IF(I19=0,,IF(I19&gt;10,,11-(I19)))</f>
        <v>10</v>
      </c>
      <c r="K19" s="59">
        <f>7+7.5*4+8+6.5+7*2+6.5+7+8.5</f>
        <v>87.5</v>
      </c>
      <c r="L19" s="59">
        <f>8.5+9+8.5*4+8+8.5+8+8.5*2+9</f>
        <v>102</v>
      </c>
      <c r="M19" s="60">
        <f>IF(K19=0,0,AVERAGE(K19:L19)/V19)</f>
        <v>0.7895833333333333</v>
      </c>
      <c r="N19" s="61">
        <v>1</v>
      </c>
      <c r="O19" s="6">
        <f>IF(N19=0,,IF(N19&gt;10,,11-(N19)))</f>
        <v>10</v>
      </c>
      <c r="Q19" s="62">
        <f>J19+O19</f>
        <v>20</v>
      </c>
      <c r="R19" s="63">
        <v>1</v>
      </c>
      <c r="S19" s="8" t="str">
        <f>IF(OR(R19&gt;10,R19=0),"-",IF(AND(H19&gt;=0.55,M19&gt;=0.55),"Q2",IF(OR(H19&gt;=0.55,M19&gt;=0.55),"Q1","-")))</f>
        <v>Q2</v>
      </c>
      <c r="T19" s="64">
        <f>IFERROR(AVERAGE(H19,M19),0)</f>
        <v>0.76638257575757573</v>
      </c>
      <c r="U19" s="65">
        <v>110</v>
      </c>
      <c r="V19" s="65">
        <v>120</v>
      </c>
    </row>
    <row r="20" spans="2:22" ht="18" x14ac:dyDescent="0.25">
      <c r="B20" s="54"/>
      <c r="C20" s="55" t="s">
        <v>58</v>
      </c>
      <c r="D20" s="56" t="s">
        <v>59</v>
      </c>
      <c r="E20" s="57"/>
      <c r="F20" s="75"/>
      <c r="G20" s="76"/>
      <c r="H20" s="83" t="s">
        <v>49</v>
      </c>
      <c r="I20" s="76"/>
      <c r="J20" s="77"/>
      <c r="K20" s="75"/>
      <c r="L20" s="76"/>
      <c r="M20" s="76"/>
      <c r="N20" s="76"/>
      <c r="O20" s="77"/>
      <c r="Q20" s="78"/>
      <c r="R20" s="79"/>
      <c r="S20" s="24"/>
      <c r="T20" s="58"/>
    </row>
    <row r="21" spans="2:22" ht="18.75" x14ac:dyDescent="0.25">
      <c r="B21" s="68">
        <v>47</v>
      </c>
      <c r="C21" s="66" t="s">
        <v>133</v>
      </c>
      <c r="D21" s="66" t="s">
        <v>134</v>
      </c>
      <c r="E21" s="66" t="s">
        <v>132</v>
      </c>
      <c r="F21" s="59">
        <f>6+7+5.5+6*2+5.5+6*2+5.5+6+5.5</f>
        <v>65</v>
      </c>
      <c r="G21" s="59">
        <f>6+6.5+5+6+6.5*4+5.5*2+6</f>
        <v>66.5</v>
      </c>
      <c r="H21" s="60">
        <f t="shared" ref="H21:H23" si="20">IF(F21=0,0,AVERAGE(F21:G21)/U21)</f>
        <v>0.59772727272727277</v>
      </c>
      <c r="I21" s="61">
        <v>2</v>
      </c>
      <c r="J21" s="6">
        <f t="shared" ref="J21:J23" si="21">IF(I21=0,,IF(I21&gt;10,,11-(I21)))</f>
        <v>9</v>
      </c>
      <c r="K21" s="59">
        <f>7*2+8*2+6.5*2+7*2+6+6.5*2+6</f>
        <v>82</v>
      </c>
      <c r="L21" s="59">
        <f>6.5*2+5.5+6.5+5.5+6.5*3+6.5*2+6+7</f>
        <v>76</v>
      </c>
      <c r="M21" s="60">
        <f t="shared" ref="M21:M23" si="22">IF(K21=0,0,AVERAGE(K21:L21)/V21)</f>
        <v>0.65833333333333333</v>
      </c>
      <c r="N21" s="61">
        <v>2</v>
      </c>
      <c r="O21" s="6">
        <f t="shared" ref="O21:O23" si="23">IF(N21=0,,IF(N21&gt;10,,11-(N21)))</f>
        <v>9</v>
      </c>
      <c r="Q21" s="62">
        <f t="shared" ref="Q21:Q23" si="24">J21+O21</f>
        <v>18</v>
      </c>
      <c r="R21" s="63">
        <v>1</v>
      </c>
      <c r="S21" s="8" t="str">
        <f t="shared" ref="S21:S23" si="25">IF(OR(R21&gt;10,R21=0),"-",IF(AND(H21&gt;=0.55,M21&gt;=0.55),"Q2",IF(OR(H21&gt;=0.55,M21&gt;=0.55),"Q1","-")))</f>
        <v>Q2</v>
      </c>
      <c r="T21" s="64">
        <f t="shared" ref="T21:T23" si="26">IFERROR(AVERAGE(H21,M21),0)</f>
        <v>0.62803030303030305</v>
      </c>
      <c r="U21" s="65">
        <v>110</v>
      </c>
      <c r="V21" s="65">
        <v>120</v>
      </c>
    </row>
    <row r="22" spans="2:22" ht="18.75" x14ac:dyDescent="0.25">
      <c r="B22" s="68">
        <v>13</v>
      </c>
      <c r="C22" s="66" t="s">
        <v>85</v>
      </c>
      <c r="D22" s="66" t="s">
        <v>86</v>
      </c>
      <c r="E22" s="66" t="s">
        <v>9</v>
      </c>
      <c r="F22" s="59">
        <f>7*3+6+7+6.5*2+7+6+6.5*2</f>
        <v>73</v>
      </c>
      <c r="G22" s="59">
        <f>6+6.5*2+5.5+6+6.5+6*3+6.5*2</f>
        <v>68</v>
      </c>
      <c r="H22" s="60">
        <f t="shared" si="20"/>
        <v>0.64090909090909087</v>
      </c>
      <c r="I22" s="61">
        <v>1</v>
      </c>
      <c r="J22" s="6">
        <f t="shared" si="21"/>
        <v>10</v>
      </c>
      <c r="K22" s="59">
        <f>7*2+6.5*4+6+6.5+6+6.5*2+6</f>
        <v>77.5</v>
      </c>
      <c r="L22" s="59">
        <f>5+6+5.5+6*2+5.5*3+5.5*3+7</f>
        <v>68.5</v>
      </c>
      <c r="M22" s="60">
        <f t="shared" si="22"/>
        <v>0.60833333333333328</v>
      </c>
      <c r="N22" s="61">
        <v>3</v>
      </c>
      <c r="O22" s="6">
        <f t="shared" si="23"/>
        <v>8</v>
      </c>
      <c r="Q22" s="62">
        <f t="shared" si="24"/>
        <v>18</v>
      </c>
      <c r="R22" s="63">
        <v>2</v>
      </c>
      <c r="S22" s="8" t="str">
        <f t="shared" si="25"/>
        <v>Q2</v>
      </c>
      <c r="T22" s="64">
        <f t="shared" si="26"/>
        <v>0.62462121212121202</v>
      </c>
      <c r="U22" s="65">
        <v>110</v>
      </c>
      <c r="V22" s="65">
        <v>120</v>
      </c>
    </row>
    <row r="23" spans="2:22" ht="18.75" x14ac:dyDescent="0.25">
      <c r="B23" s="68">
        <v>18</v>
      </c>
      <c r="C23" s="66" t="s">
        <v>135</v>
      </c>
      <c r="D23" s="66" t="s">
        <v>95</v>
      </c>
      <c r="E23" s="66" t="s">
        <v>9</v>
      </c>
      <c r="F23" s="59">
        <v>0</v>
      </c>
      <c r="G23" s="59"/>
      <c r="H23" s="60">
        <f t="shared" si="20"/>
        <v>0</v>
      </c>
      <c r="I23" s="61"/>
      <c r="J23" s="6">
        <f t="shared" si="21"/>
        <v>0</v>
      </c>
      <c r="K23" s="59">
        <f>8*6+7+8+7*2+8+7</f>
        <v>92</v>
      </c>
      <c r="L23" s="59">
        <f>7.5*5+7*2+7.5+7+7.5+8+7.5</f>
        <v>89</v>
      </c>
      <c r="M23" s="60">
        <f t="shared" si="22"/>
        <v>0.75416666666666665</v>
      </c>
      <c r="N23" s="61">
        <v>1</v>
      </c>
      <c r="O23" s="6">
        <f t="shared" si="23"/>
        <v>10</v>
      </c>
      <c r="Q23" s="62">
        <f t="shared" si="24"/>
        <v>10</v>
      </c>
      <c r="R23" s="63">
        <v>3</v>
      </c>
      <c r="S23" s="8" t="str">
        <f t="shared" si="25"/>
        <v>Q1</v>
      </c>
      <c r="T23" s="64">
        <f t="shared" si="26"/>
        <v>0.37708333333333333</v>
      </c>
      <c r="U23" s="65">
        <v>110</v>
      </c>
      <c r="V23" s="65">
        <v>120</v>
      </c>
    </row>
    <row r="24" spans="2:22" ht="18" x14ac:dyDescent="0.25">
      <c r="B24" s="54"/>
      <c r="C24" s="55" t="s">
        <v>47</v>
      </c>
      <c r="D24" s="56" t="s">
        <v>48</v>
      </c>
      <c r="E24" s="57"/>
      <c r="F24" s="110"/>
      <c r="G24" s="111"/>
      <c r="H24" s="111"/>
      <c r="I24" s="111"/>
      <c r="J24" s="112"/>
      <c r="K24" s="110"/>
      <c r="L24" s="111"/>
      <c r="M24" s="111"/>
      <c r="N24" s="111"/>
      <c r="O24" s="112"/>
      <c r="Q24" s="113"/>
      <c r="R24" s="114"/>
      <c r="S24" s="24"/>
      <c r="T24" s="58"/>
    </row>
    <row r="25" spans="2:22" ht="18.75" x14ac:dyDescent="0.25">
      <c r="B25" s="123">
        <v>41</v>
      </c>
      <c r="C25" s="124" t="s">
        <v>136</v>
      </c>
      <c r="D25" s="124" t="s">
        <v>137</v>
      </c>
      <c r="E25" s="124" t="s">
        <v>53</v>
      </c>
      <c r="F25" s="59">
        <f>6.5+7+6*2+6.5+4.5+5+4.5+5*3-4</f>
        <v>57</v>
      </c>
      <c r="G25" s="59">
        <f>6.5*3+5.5+6.5+5.5+6+5+6*3-4</f>
        <v>62</v>
      </c>
      <c r="H25" s="60">
        <f t="shared" ref="H25:H26" si="27">IF(F25=0,0,AVERAGE(F25:G25)/U25)</f>
        <v>0.54090909090909089</v>
      </c>
      <c r="I25" s="61">
        <v>1</v>
      </c>
      <c r="J25" s="6">
        <f t="shared" ref="J25:J26" si="28">IF(I25=0,,IF(I25&gt;10,,11-(I25)))</f>
        <v>10</v>
      </c>
      <c r="K25" s="59">
        <f>6.5*2+6*2+6.5+6+5*2+6+5.5+6.5+5</f>
        <v>70.5</v>
      </c>
      <c r="L25" s="59">
        <f>6+6.5+5.5+6+5*2+6+5+6+5.5*2+5</f>
        <v>67</v>
      </c>
      <c r="M25" s="60">
        <f t="shared" ref="M25:M26" si="29">IF(K25=0,0,AVERAGE(K25:L25)/V25)</f>
        <v>0.57291666666666663</v>
      </c>
      <c r="N25" s="61">
        <v>1</v>
      </c>
      <c r="O25" s="6">
        <f t="shared" ref="O25:O26" si="30">IF(N25=0,,IF(N25&gt;10,,11-(N25)))</f>
        <v>10</v>
      </c>
      <c r="Q25" s="62">
        <f t="shared" ref="Q25:Q26" si="31">J25+O25</f>
        <v>20</v>
      </c>
      <c r="R25" s="63">
        <v>1</v>
      </c>
      <c r="S25" s="8"/>
      <c r="T25" s="64">
        <f t="shared" ref="T25:T26" si="32">IFERROR(AVERAGE(H25,M25),0)</f>
        <v>0.55691287878787876</v>
      </c>
      <c r="U25" s="65">
        <v>110</v>
      </c>
      <c r="V25" s="65">
        <v>120</v>
      </c>
    </row>
    <row r="26" spans="2:22" ht="18.75" x14ac:dyDescent="0.25">
      <c r="B26" s="123">
        <v>42</v>
      </c>
      <c r="C26" s="124" t="s">
        <v>138</v>
      </c>
      <c r="D26" s="124" t="s">
        <v>139</v>
      </c>
      <c r="E26" s="124" t="s">
        <v>8</v>
      </c>
      <c r="F26" s="59" t="s">
        <v>25</v>
      </c>
      <c r="G26" s="59"/>
      <c r="H26" s="60" t="e">
        <f t="shared" si="27"/>
        <v>#DIV/0!</v>
      </c>
      <c r="I26" s="61"/>
      <c r="J26" s="6">
        <f t="shared" si="28"/>
        <v>0</v>
      </c>
      <c r="K26" s="59" t="s">
        <v>25</v>
      </c>
      <c r="L26" s="59"/>
      <c r="M26" s="60" t="e">
        <f t="shared" si="29"/>
        <v>#DIV/0!</v>
      </c>
      <c r="N26" s="61"/>
      <c r="O26" s="6">
        <f t="shared" si="30"/>
        <v>0</v>
      </c>
      <c r="Q26" s="62">
        <f t="shared" si="31"/>
        <v>0</v>
      </c>
      <c r="R26" s="63"/>
      <c r="S26" s="8"/>
      <c r="T26" s="64">
        <f t="shared" si="32"/>
        <v>0</v>
      </c>
      <c r="U26" s="65">
        <v>110</v>
      </c>
      <c r="V26" s="65">
        <v>120</v>
      </c>
    </row>
  </sheetData>
  <sortState xmlns:xlrd2="http://schemas.microsoft.com/office/spreadsheetml/2017/richdata2" ref="B7:V8">
    <sortCondition descending="1" ref="Q7:Q8"/>
  </sortState>
  <mergeCells count="20">
    <mergeCell ref="F24:J24"/>
    <mergeCell ref="K24:O24"/>
    <mergeCell ref="Q24:R24"/>
    <mergeCell ref="V4:V5"/>
    <mergeCell ref="O4:O5"/>
    <mergeCell ref="Q4:Q5"/>
    <mergeCell ref="R4:R5"/>
    <mergeCell ref="S4:S5"/>
    <mergeCell ref="T4:T5"/>
    <mergeCell ref="U4:U5"/>
    <mergeCell ref="B1:S1"/>
    <mergeCell ref="F3:H3"/>
    <mergeCell ref="Q3:R3"/>
    <mergeCell ref="F4:G4"/>
    <mergeCell ref="H4:H5"/>
    <mergeCell ref="I4:I5"/>
    <mergeCell ref="J4:J5"/>
    <mergeCell ref="K4:L4"/>
    <mergeCell ref="M4:M5"/>
    <mergeCell ref="N4:N5"/>
  </mergeCells>
  <conditionalFormatting sqref="S3:S6 S12:S1048576">
    <cfRule type="cellIs" dxfId="6" priority="10" operator="equal">
      <formula>"Q"</formula>
    </cfRule>
  </conditionalFormatting>
  <conditionalFormatting sqref="S13:S15 S17:S23 S7:S11">
    <cfRule type="containsText" dxfId="5" priority="9" operator="containsText" text="Q">
      <formula>NOT(ISERROR(SEARCH("Q",S7)))</formula>
    </cfRule>
  </conditionalFormatting>
  <conditionalFormatting sqref="S25:S26">
    <cfRule type="containsText" dxfId="4" priority="5" operator="containsText" text="Q">
      <formula>NOT(ISERROR(SEARCH("Q",S25)))</formula>
    </cfRule>
  </conditionalFormatting>
  <conditionalFormatting sqref="S7:S11">
    <cfRule type="cellIs" dxfId="3" priority="3" operator="equal">
      <formula>"Q"</formula>
    </cfRule>
  </conditionalFormatting>
  <conditionalFormatting sqref="S10">
    <cfRule type="cellIs" dxfId="2" priority="2" operator="equal">
      <formula>"Q"</formula>
    </cfRule>
  </conditionalFormatting>
  <conditionalFormatting sqref="S7:S11">
    <cfRule type="cellIs" dxfId="1" priority="1" operator="equal">
      <formula>"Q"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CT -Scoring</vt:lpstr>
      <vt:lpstr>JE - Scoring</vt:lpstr>
      <vt:lpstr>'CT -Scoring'!Print_Area</vt:lpstr>
      <vt:lpstr>'JE - Scoring'!Print_Area</vt:lpstr>
      <vt:lpstr>'CT -Scoring'!Print_Titles</vt:lpstr>
      <vt:lpstr>'JE - Scoring'!Print_Titles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Cole</cp:lastModifiedBy>
  <cp:lastPrinted>2021-06-20T04:42:46Z</cp:lastPrinted>
  <dcterms:created xsi:type="dcterms:W3CDTF">2014-07-25T04:31:22Z</dcterms:created>
  <dcterms:modified xsi:type="dcterms:W3CDTF">2021-06-20T04:53:14Z</dcterms:modified>
</cp:coreProperties>
</file>